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965" windowHeight="886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<sst xmlns="http://schemas.openxmlformats.org/spreadsheetml/2006/main" count="269" uniqueCount="46">
  <si>
    <t>Name</t>
  </si>
  <si>
    <t>Base Salary</t>
  </si>
  <si>
    <t>Salary Requested</t>
  </si>
  <si>
    <t>Academic Appt (Y/N)</t>
  </si>
  <si>
    <t>TOTAL</t>
  </si>
  <si>
    <t>Principal Investigator</t>
  </si>
  <si>
    <t>Y</t>
  </si>
  <si>
    <t>Research Scientist</t>
  </si>
  <si>
    <t>N</t>
  </si>
  <si>
    <t>Regular Fringe</t>
  </si>
  <si>
    <t>Vacation Fringe</t>
  </si>
  <si>
    <t xml:space="preserve"> TOTAL FRINGE</t>
  </si>
  <si>
    <t>Budget period 1 (January 1, 2008 through December 31, 2008)</t>
  </si>
  <si>
    <t>Budget period 2  (January 1, 2009 through December 31, 2009)</t>
  </si>
  <si>
    <t>Budget period 3  (January 1, 2010 through December 31, 2010)</t>
  </si>
  <si>
    <t>Budget period 4  (January 1, 2011 through December 31, 2011)</t>
  </si>
  <si>
    <t>Research Assistant**</t>
  </si>
  <si>
    <t>GRAND TOTAL</t>
  </si>
  <si>
    <t>Budget based on no vacation time used.</t>
  </si>
  <si>
    <t>Budget based on 4 weeks vacation used by exempt employees*; 3 weeks by union employees** (could be 4 if longer service)</t>
  </si>
  <si>
    <t>Consultant Costs</t>
  </si>
  <si>
    <t>Travel</t>
  </si>
  <si>
    <t>Other Costs</t>
  </si>
  <si>
    <t>Subtotal Direct Costs</t>
  </si>
  <si>
    <t>F&amp;A Costs</t>
  </si>
  <si>
    <t>TOTAL COSTS</t>
  </si>
  <si>
    <t>Y1</t>
  </si>
  <si>
    <t>Y2</t>
  </si>
  <si>
    <t>Y3</t>
  </si>
  <si>
    <t>Y4</t>
  </si>
  <si>
    <t>NO VACATION</t>
  </si>
  <si>
    <t>Salaries and Fringe Benefits</t>
  </si>
  <si>
    <t>VACATION USED</t>
  </si>
  <si>
    <t>FTE</t>
  </si>
  <si>
    <t xml:space="preserve"># Days </t>
  </si>
  <si>
    <t>VACATION FRINGE BUDGET IN LOADED RATE FORMAT</t>
  </si>
  <si>
    <t>Research Manager*</t>
  </si>
  <si>
    <t>Site Coordinator*</t>
  </si>
  <si>
    <t>DBA &amp; MedEvac insurance</t>
  </si>
  <si>
    <t>F&amp;A Costs (26%) - on non-personnel costs</t>
  </si>
  <si>
    <t>Subtotal Loaded Salaries (inc. fringe benefits and overhead)</t>
  </si>
  <si>
    <t>Loaded Daily Rate = (FTE * Base salary) + Regular fringe + Vacation fringe (not applicable to academic salaries)/260; TOTAL Loaded Salary = Loaded Daily Rate * # Days</t>
  </si>
  <si>
    <t>Loaded Daily Rate</t>
  </si>
  <si>
    <r>
      <t>NOTE:</t>
    </r>
    <r>
      <rPr>
        <sz val="9"/>
        <rFont val="Arial"/>
        <family val="0"/>
      </rPr>
      <t xml:space="preserve"> Personnel salary estimates are comprised of daily rates derived from actual salary rates and are provided for convenience to facilitate sponsor review using sponsor's usual procedures.  However, Harvard's payroll system and </t>
    </r>
  </si>
  <si>
    <t>auditable records reflect personnel effort on a percentage basis and not in terms of days.   The rates given are not supported by auditable records nor are they documented by days or weeks for billing and/or reporting purposes.</t>
  </si>
  <si>
    <t>Exempt vacation fringe rate = 10.5%; Union vacation fringe rate = 9.8%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</si>
</sst>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0.0;[Red]#,##0.0"/>
    <numFmt numFmtId="166" formatCode="#,##0.00;[Red]#,##0.00"/>
    <numFmt numFmtId="167" formatCode="&quot;Yes&quot;;&quot;Yes&quot;;&quot;No&quot;"/>
    <numFmt numFmtId="168" formatCode="&quot;True&quot;;&quot;True&quot;;&quot;False&quot;"/>
    <numFmt numFmtId="169" formatCode="&quot;On&quot;;&quot;On&quot;;&quot;Off&quot;"/>
    <numFmt numFmtId="170" formatCode="[$€-2]\ #,##0.00_);[Red]\([$€-2]\ #,##0.00\)"/>
    <numFmt numFmtId="171" formatCode="&quot;$&quot;#,##0.00"/>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9"/>
      <name val="Arial"/>
      <family val="0"/>
    </font>
    <font>
      <b/>
      <sz val="9"/>
      <name val="Arial"/>
      <family val="2"/>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1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164" fontId="1" fillId="0" borderId="1" xfId="0" applyNumberFormat="1" applyFont="1" applyBorder="1" applyAlignment="1">
      <alignment vertical="center" wrapText="1"/>
    </xf>
    <xf numFmtId="164" fontId="1" fillId="0" borderId="0" xfId="0" applyNumberFormat="1" applyFont="1" applyBorder="1" applyAlignment="1">
      <alignment horizontal="center" vertical="center" wrapText="1"/>
    </xf>
    <xf numFmtId="166" fontId="1" fillId="0" borderId="0" xfId="0" applyNumberFormat="1" applyFont="1" applyBorder="1" applyAlignment="1">
      <alignment horizontal="right" vertical="center" wrapText="1"/>
    </xf>
    <xf numFmtId="164" fontId="1" fillId="0" borderId="0" xfId="0" applyNumberFormat="1" applyFont="1" applyBorder="1" applyAlignment="1">
      <alignment horizontal="right" vertical="center" wrapText="1"/>
    </xf>
    <xf numFmtId="38" fontId="1" fillId="0" borderId="0" xfId="0" applyNumberFormat="1" applyFont="1" applyBorder="1" applyAlignment="1">
      <alignment horizontal="right" vertical="center" wrapText="1"/>
    </xf>
    <xf numFmtId="164" fontId="0" fillId="0" borderId="1" xfId="0" applyNumberFormat="1" applyBorder="1" applyAlignment="1">
      <alignment/>
    </xf>
    <xf numFmtId="164" fontId="0" fillId="0" borderId="0" xfId="0" applyNumberFormat="1" applyBorder="1" applyAlignment="1">
      <alignment horizontal="center"/>
    </xf>
    <xf numFmtId="166" fontId="0" fillId="0" borderId="0" xfId="0" applyNumberFormat="1" applyBorder="1" applyAlignment="1">
      <alignment/>
    </xf>
    <xf numFmtId="164" fontId="0" fillId="0" borderId="0" xfId="0" applyNumberFormat="1" applyBorder="1" applyAlignment="1">
      <alignment/>
    </xf>
    <xf numFmtId="38" fontId="0" fillId="0" borderId="0" xfId="0" applyNumberFormat="1" applyBorder="1" applyAlignment="1">
      <alignment/>
    </xf>
    <xf numFmtId="38" fontId="1" fillId="0" borderId="2" xfId="0" applyNumberFormat="1" applyFont="1" applyBorder="1" applyAlignment="1">
      <alignment horizontal="center" vertical="center" wrapText="1"/>
    </xf>
    <xf numFmtId="38" fontId="0" fillId="0" borderId="2" xfId="0" applyNumberFormat="1" applyBorder="1" applyAlignment="1">
      <alignment/>
    </xf>
    <xf numFmtId="38" fontId="0" fillId="0" borderId="3" xfId="0" applyNumberFormat="1" applyBorder="1" applyAlignment="1">
      <alignment/>
    </xf>
    <xf numFmtId="38" fontId="0" fillId="0" borderId="4" xfId="0" applyNumberFormat="1" applyBorder="1" applyAlignment="1">
      <alignment/>
    </xf>
    <xf numFmtId="164" fontId="0" fillId="0" borderId="0" xfId="0" applyNumberFormat="1" applyBorder="1" applyAlignment="1">
      <alignment vertical="center"/>
    </xf>
    <xf numFmtId="164" fontId="1" fillId="0" borderId="0" xfId="0" applyNumberFormat="1" applyFont="1" applyBorder="1" applyAlignment="1">
      <alignment vertical="center" wrapText="1"/>
    </xf>
    <xf numFmtId="0" fontId="1" fillId="0" borderId="0" xfId="0" applyFont="1" applyFill="1" applyBorder="1" applyAlignment="1">
      <alignment vertical="center"/>
    </xf>
    <xf numFmtId="164" fontId="1" fillId="0" borderId="5" xfId="0" applyNumberFormat="1" applyFont="1" applyBorder="1" applyAlignment="1">
      <alignment vertical="center" wrapText="1"/>
    </xf>
    <xf numFmtId="164" fontId="1" fillId="0" borderId="6" xfId="0" applyNumberFormat="1" applyFont="1" applyBorder="1" applyAlignment="1">
      <alignment horizontal="center" vertical="center" wrapText="1"/>
    </xf>
    <xf numFmtId="166" fontId="1" fillId="0" borderId="6" xfId="0" applyNumberFormat="1" applyFont="1" applyBorder="1" applyAlignment="1">
      <alignment horizontal="right" vertical="center" wrapText="1"/>
    </xf>
    <xf numFmtId="164" fontId="1" fillId="0" borderId="6" xfId="0" applyNumberFormat="1" applyFont="1" applyBorder="1" applyAlignment="1">
      <alignment horizontal="right" vertical="center" wrapText="1"/>
    </xf>
    <xf numFmtId="38" fontId="1" fillId="0" borderId="6" xfId="0" applyNumberFormat="1" applyFont="1" applyBorder="1" applyAlignment="1">
      <alignment horizontal="right" vertical="center" wrapText="1"/>
    </xf>
    <xf numFmtId="38" fontId="1" fillId="0" borderId="7" xfId="0" applyNumberFormat="1" applyFont="1" applyBorder="1" applyAlignment="1">
      <alignment horizontal="center" vertical="center" wrapText="1"/>
    </xf>
    <xf numFmtId="164" fontId="1" fillId="0" borderId="0" xfId="0" applyNumberFormat="1" applyFont="1" applyFill="1" applyBorder="1" applyAlignment="1">
      <alignment vertical="center"/>
    </xf>
    <xf numFmtId="164" fontId="0" fillId="0" borderId="0" xfId="0" applyNumberFormat="1" applyFill="1" applyBorder="1" applyAlignment="1">
      <alignment/>
    </xf>
    <xf numFmtId="164" fontId="0" fillId="0" borderId="0" xfId="0" applyNumberFormat="1" applyBorder="1" applyAlignment="1">
      <alignment wrapText="1"/>
    </xf>
    <xf numFmtId="38" fontId="0" fillId="2" borderId="0" xfId="0" applyNumberFormat="1" applyFill="1" applyBorder="1" applyAlignment="1">
      <alignment/>
    </xf>
    <xf numFmtId="164" fontId="1" fillId="0" borderId="0" xfId="0" applyNumberFormat="1" applyFont="1" applyBorder="1" applyAlignment="1">
      <alignment/>
    </xf>
    <xf numFmtId="0" fontId="1" fillId="0" borderId="0" xfId="0" applyFont="1" applyAlignment="1">
      <alignment/>
    </xf>
    <xf numFmtId="0" fontId="1" fillId="0" borderId="1" xfId="0" applyFont="1" applyBorder="1" applyAlignment="1">
      <alignment/>
    </xf>
    <xf numFmtId="0" fontId="1" fillId="0" borderId="8" xfId="0" applyFont="1" applyBorder="1" applyAlignment="1">
      <alignment/>
    </xf>
    <xf numFmtId="0" fontId="1" fillId="2" borderId="9" xfId="0" applyFont="1" applyFill="1" applyBorder="1" applyAlignment="1">
      <alignment/>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3" borderId="9" xfId="0" applyFont="1" applyFill="1" applyBorder="1" applyAlignment="1">
      <alignment/>
    </xf>
    <xf numFmtId="0" fontId="1" fillId="3" borderId="10" xfId="0" applyFont="1" applyFill="1" applyBorder="1" applyAlignment="1">
      <alignment horizontal="center"/>
    </xf>
    <xf numFmtId="0" fontId="1" fillId="3" borderId="11" xfId="0" applyFont="1" applyFill="1" applyBorder="1" applyAlignment="1">
      <alignment horizontal="center"/>
    </xf>
    <xf numFmtId="38" fontId="0" fillId="3" borderId="0" xfId="0" applyNumberFormat="1" applyFill="1" applyBorder="1" applyAlignment="1">
      <alignment/>
    </xf>
    <xf numFmtId="0" fontId="0" fillId="0" borderId="0" xfId="0" applyBorder="1" applyAlignment="1">
      <alignment/>
    </xf>
    <xf numFmtId="0" fontId="0" fillId="0" borderId="3" xfId="0" applyBorder="1" applyAlignment="1">
      <alignment/>
    </xf>
    <xf numFmtId="9" fontId="0" fillId="0" borderId="0" xfId="0" applyNumberFormat="1" applyBorder="1" applyAlignment="1">
      <alignment/>
    </xf>
    <xf numFmtId="38" fontId="0" fillId="0" borderId="0" xfId="0" applyNumberFormat="1" applyFill="1" applyBorder="1" applyAlignment="1">
      <alignment horizontal="center"/>
    </xf>
    <xf numFmtId="0" fontId="1" fillId="0" borderId="0" xfId="0" applyFont="1" applyBorder="1" applyAlignment="1">
      <alignment/>
    </xf>
    <xf numFmtId="3" fontId="0" fillId="0" borderId="2" xfId="0" applyNumberFormat="1" applyBorder="1" applyAlignment="1">
      <alignment/>
    </xf>
    <xf numFmtId="3" fontId="0" fillId="0" borderId="4" xfId="0" applyNumberFormat="1" applyBorder="1" applyAlignment="1">
      <alignment/>
    </xf>
    <xf numFmtId="38" fontId="0" fillId="0" borderId="0" xfId="0" applyNumberFormat="1" applyFill="1" applyBorder="1" applyAlignment="1">
      <alignment/>
    </xf>
    <xf numFmtId="164" fontId="0" fillId="0" borderId="0" xfId="0" applyNumberFormat="1" applyFill="1" applyBorder="1" applyAlignment="1">
      <alignment horizontal="center"/>
    </xf>
    <xf numFmtId="164" fontId="6" fillId="0" borderId="0" xfId="0" applyNumberFormat="1" applyFont="1" applyBorder="1" applyAlignment="1">
      <alignment/>
    </xf>
    <xf numFmtId="171" fontId="0" fillId="0" borderId="0" xfId="0" applyNumberFormat="1" applyBorder="1" applyAlignment="1">
      <alignment/>
    </xf>
    <xf numFmtId="7" fontId="0" fillId="0" borderId="0" xfId="17" applyNumberFormat="1" applyBorder="1" applyAlignment="1">
      <alignment/>
    </xf>
    <xf numFmtId="164" fontId="1" fillId="0" borderId="0" xfId="0" applyNumberFormat="1" applyFont="1" applyBorder="1" applyAlignment="1">
      <alignment/>
    </xf>
    <xf numFmtId="164" fontId="0" fillId="3" borderId="0" xfId="0" applyNumberFormat="1" applyFill="1" applyBorder="1" applyAlignment="1">
      <alignment/>
    </xf>
    <xf numFmtId="38" fontId="0" fillId="2" borderId="0" xfId="0" applyNumberFormat="1" applyFill="1" applyBorder="1" applyAlignment="1">
      <alignment/>
    </xf>
    <xf numFmtId="164" fontId="7" fillId="0" borderId="0" xfId="0" applyNumberFormat="1" applyFont="1" applyBorder="1" applyAlignment="1">
      <alignment/>
    </xf>
    <xf numFmtId="164" fontId="6" fillId="0" borderId="0" xfId="0" applyNumberFormat="1" applyFont="1" applyBorder="1" applyAlignment="1">
      <alignment/>
    </xf>
    <xf numFmtId="164" fontId="1" fillId="0" borderId="8" xfId="0" applyNumberFormat="1" applyFont="1" applyBorder="1" applyAlignment="1">
      <alignment/>
    </xf>
    <xf numFmtId="0" fontId="0" fillId="0" borderId="3" xfId="0" applyBorder="1" applyAlignment="1">
      <alignment/>
    </xf>
    <xf numFmtId="164" fontId="5" fillId="0" borderId="0" xfId="0" applyNumberFormat="1" applyFont="1" applyBorder="1" applyAlignment="1">
      <alignment horizontal="center"/>
    </xf>
    <xf numFmtId="164" fontId="1" fillId="0" borderId="1" xfId="0" applyNumberFormat="1" applyFont="1" applyBorder="1" applyAlignment="1">
      <alignment/>
    </xf>
    <xf numFmtId="0" fontId="0" fillId="0" borderId="0" xfId="0" applyBorder="1" applyAlignment="1">
      <alignment/>
    </xf>
    <xf numFmtId="164" fontId="1" fillId="3" borderId="9" xfId="0" applyNumberFormat="1" applyFont="1" applyFill="1" applyBorder="1" applyAlignment="1">
      <alignment vertical="center" wrapText="1"/>
    </xf>
    <xf numFmtId="0" fontId="1" fillId="3" borderId="10" xfId="0" applyFont="1" applyFill="1" applyBorder="1" applyAlignment="1">
      <alignment vertical="center" wrapText="1"/>
    </xf>
    <xf numFmtId="0" fontId="1" fillId="3" borderId="11" xfId="0" applyFont="1" applyFill="1" applyBorder="1" applyAlignment="1">
      <alignment vertical="center" wrapText="1"/>
    </xf>
    <xf numFmtId="164" fontId="1" fillId="0" borderId="9" xfId="0" applyNumberFormat="1"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164" fontId="1" fillId="2" borderId="9"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4" fontId="1" fillId="2" borderId="11" xfId="0" applyNumberFormat="1" applyFont="1" applyFill="1" applyBorder="1" applyAlignment="1">
      <alignment horizontal="center" vertical="center" wrapText="1"/>
    </xf>
    <xf numFmtId="164" fontId="1" fillId="0" borderId="9"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1" xfId="0" applyNumberFormat="1"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70"/>
  <sheetViews>
    <sheetView tabSelected="1" workbookViewId="0" topLeftCell="D1">
      <selection activeCell="A71" sqref="A71"/>
    </sheetView>
  </sheetViews>
  <sheetFormatPr defaultColWidth="9.140625" defaultRowHeight="18" customHeight="1"/>
  <cols>
    <col min="1" max="1" width="20.7109375" style="9" customWidth="1"/>
    <col min="2" max="2" width="10.421875" style="7" customWidth="1"/>
    <col min="3" max="3" width="5.8515625" style="8" customWidth="1"/>
    <col min="4" max="4" width="9.00390625" style="9" customWidth="1"/>
    <col min="5" max="5" width="10.7109375" style="10" customWidth="1"/>
    <col min="6" max="6" width="8.57421875" style="10" customWidth="1"/>
    <col min="7" max="7" width="8.8515625" style="10" customWidth="1"/>
    <col min="8" max="8" width="8.28125" style="10" customWidth="1"/>
    <col min="9" max="9" width="10.00390625" style="10" customWidth="1"/>
    <col min="10" max="10" width="8.28125" style="10" customWidth="1"/>
    <col min="11" max="11" width="9.57421875" style="10" customWidth="1"/>
    <col min="12" max="12" width="2.7109375" style="9" customWidth="1"/>
    <col min="13" max="13" width="20.7109375" style="9" customWidth="1"/>
    <col min="14" max="14" width="10.7109375" style="9" customWidth="1"/>
    <col min="15" max="15" width="6.140625" style="9" customWidth="1"/>
    <col min="16" max="16" width="21.140625" style="9" customWidth="1"/>
    <col min="17" max="17" width="10.421875" style="9" customWidth="1"/>
    <col min="18" max="20" width="9.140625" style="9" customWidth="1"/>
    <col min="21" max="21" width="9.7109375" style="10" customWidth="1"/>
    <col min="22" max="22" width="8.28125" style="10" customWidth="1"/>
    <col min="23" max="23" width="9.7109375" style="9" bestFit="1" customWidth="1"/>
    <col min="24" max="16384" width="9.140625" style="9" customWidth="1"/>
  </cols>
  <sheetData>
    <row r="1" spans="1:23" ht="18" customHeight="1">
      <c r="A1" s="58" t="s">
        <v>35</v>
      </c>
      <c r="B1" s="58"/>
      <c r="C1" s="58"/>
      <c r="D1" s="58"/>
      <c r="E1" s="58"/>
      <c r="F1" s="58"/>
      <c r="G1" s="58"/>
      <c r="H1" s="58"/>
      <c r="I1" s="58"/>
      <c r="J1" s="58"/>
      <c r="K1" s="58"/>
      <c r="L1" s="58"/>
      <c r="M1" s="58"/>
      <c r="N1" s="58"/>
      <c r="O1" s="58"/>
      <c r="P1" s="58"/>
      <c r="Q1" s="58"/>
      <c r="R1" s="58"/>
      <c r="S1" s="58"/>
      <c r="T1" s="58"/>
      <c r="U1" s="58"/>
      <c r="V1" s="58"/>
      <c r="W1" s="58"/>
    </row>
    <row r="3" spans="1:23" s="26" customFormat="1" ht="25.5" customHeight="1">
      <c r="A3" s="67" t="s">
        <v>19</v>
      </c>
      <c r="B3" s="68"/>
      <c r="C3" s="68"/>
      <c r="D3" s="68"/>
      <c r="E3" s="68"/>
      <c r="F3" s="68"/>
      <c r="G3" s="68"/>
      <c r="H3" s="68"/>
      <c r="I3" s="68"/>
      <c r="J3" s="68"/>
      <c r="K3" s="69"/>
      <c r="M3" s="61" t="s">
        <v>18</v>
      </c>
      <c r="N3" s="62"/>
      <c r="O3" s="62"/>
      <c r="P3" s="62"/>
      <c r="Q3" s="62"/>
      <c r="R3" s="62"/>
      <c r="S3" s="62"/>
      <c r="T3" s="62"/>
      <c r="U3" s="62"/>
      <c r="V3" s="62"/>
      <c r="W3" s="63"/>
    </row>
    <row r="4" spans="1:23" s="25" customFormat="1" ht="18" customHeight="1">
      <c r="A4" s="24"/>
      <c r="B4" s="17"/>
      <c r="C4" s="17"/>
      <c r="D4" s="17"/>
      <c r="E4" s="17"/>
      <c r="F4" s="17"/>
      <c r="G4" s="17"/>
      <c r="H4" s="17"/>
      <c r="I4" s="17"/>
      <c r="J4" s="17"/>
      <c r="K4" s="17"/>
      <c r="M4" s="24"/>
      <c r="N4" s="17"/>
      <c r="O4" s="17"/>
      <c r="P4" s="17"/>
      <c r="Q4" s="17"/>
      <c r="R4" s="17"/>
      <c r="S4" s="17"/>
      <c r="T4" s="17"/>
      <c r="U4" s="17"/>
      <c r="V4" s="17"/>
      <c r="W4" s="17"/>
    </row>
    <row r="5" spans="1:23" s="15" customFormat="1" ht="18" customHeight="1">
      <c r="A5" s="70" t="s">
        <v>12</v>
      </c>
      <c r="B5" s="71"/>
      <c r="C5" s="71"/>
      <c r="D5" s="71"/>
      <c r="E5" s="71"/>
      <c r="F5" s="71"/>
      <c r="G5" s="71"/>
      <c r="H5" s="71"/>
      <c r="I5" s="71"/>
      <c r="J5" s="71"/>
      <c r="K5" s="72"/>
      <c r="M5" s="64" t="s">
        <v>12</v>
      </c>
      <c r="N5" s="65"/>
      <c r="O5" s="65"/>
      <c r="P5" s="65"/>
      <c r="Q5" s="65"/>
      <c r="R5" s="65"/>
      <c r="S5" s="65"/>
      <c r="T5" s="65"/>
      <c r="U5" s="65"/>
      <c r="V5" s="65"/>
      <c r="W5" s="66"/>
    </row>
    <row r="6" spans="1:23" s="16" customFormat="1" ht="48" customHeight="1">
      <c r="A6" s="1" t="s">
        <v>0</v>
      </c>
      <c r="B6" s="2" t="s">
        <v>3</v>
      </c>
      <c r="C6" s="3" t="s">
        <v>33</v>
      </c>
      <c r="D6" s="4" t="s">
        <v>1</v>
      </c>
      <c r="E6" s="5" t="s">
        <v>2</v>
      </c>
      <c r="F6" s="5" t="s">
        <v>9</v>
      </c>
      <c r="G6" s="5" t="s">
        <v>10</v>
      </c>
      <c r="H6" s="5" t="s">
        <v>11</v>
      </c>
      <c r="I6" s="5" t="s">
        <v>42</v>
      </c>
      <c r="J6" s="5" t="s">
        <v>34</v>
      </c>
      <c r="K6" s="11" t="s">
        <v>4</v>
      </c>
      <c r="M6" s="18" t="s">
        <v>0</v>
      </c>
      <c r="N6" s="19" t="s">
        <v>3</v>
      </c>
      <c r="O6" s="20" t="s">
        <v>33</v>
      </c>
      <c r="P6" s="21" t="s">
        <v>1</v>
      </c>
      <c r="Q6" s="22" t="s">
        <v>2</v>
      </c>
      <c r="R6" s="22" t="s">
        <v>9</v>
      </c>
      <c r="S6" s="22" t="s">
        <v>10</v>
      </c>
      <c r="T6" s="22" t="s">
        <v>11</v>
      </c>
      <c r="U6" s="5" t="s">
        <v>42</v>
      </c>
      <c r="V6" s="22" t="s">
        <v>34</v>
      </c>
      <c r="W6" s="23" t="s">
        <v>4</v>
      </c>
    </row>
    <row r="7" spans="1:23" ht="18" customHeight="1">
      <c r="A7" s="6" t="s">
        <v>5</v>
      </c>
      <c r="B7" s="7" t="s">
        <v>6</v>
      </c>
      <c r="C7" s="41">
        <v>0.25</v>
      </c>
      <c r="D7" s="9">
        <v>186600</v>
      </c>
      <c r="E7" s="10">
        <f>+D7*C7</f>
        <v>46650</v>
      </c>
      <c r="F7" s="10">
        <f>+E7/2*0.246+(E7/2*0.251)</f>
        <v>11592.525</v>
      </c>
      <c r="G7" s="10">
        <v>0</v>
      </c>
      <c r="H7" s="10">
        <f>+G7+F7</f>
        <v>11592.525</v>
      </c>
      <c r="I7" s="49">
        <f>(E7+H7)*1.26/J7</f>
        <v>1129.0089461538462</v>
      </c>
      <c r="J7" s="10">
        <f>C7*260</f>
        <v>65</v>
      </c>
      <c r="K7" s="12">
        <f>J7*I7</f>
        <v>73385.5815</v>
      </c>
      <c r="M7" s="6" t="s">
        <v>5</v>
      </c>
      <c r="N7" s="7" t="s">
        <v>6</v>
      </c>
      <c r="O7" s="41">
        <v>0.25</v>
      </c>
      <c r="P7" s="9">
        <v>186600</v>
      </c>
      <c r="Q7" s="10">
        <f>+P7*O7</f>
        <v>46650</v>
      </c>
      <c r="R7" s="10">
        <f>+Q7/2*0.246+(Q7/2*0.251)</f>
        <v>11592.525</v>
      </c>
      <c r="S7" s="10">
        <v>0</v>
      </c>
      <c r="T7" s="10">
        <f>+S7+R7</f>
        <v>11592.525</v>
      </c>
      <c r="U7" s="49">
        <f>(Q7+T7)*1.26/V7</f>
        <v>1129.0089461538462</v>
      </c>
      <c r="V7" s="10">
        <f>O7*260</f>
        <v>65</v>
      </c>
      <c r="W7" s="12">
        <f>V7*U7</f>
        <v>73385.5815</v>
      </c>
    </row>
    <row r="8" spans="1:23" ht="18" customHeight="1">
      <c r="A8" s="6" t="s">
        <v>7</v>
      </c>
      <c r="B8" s="7" t="s">
        <v>6</v>
      </c>
      <c r="C8" s="41">
        <v>0.1</v>
      </c>
      <c r="D8" s="9">
        <v>75000</v>
      </c>
      <c r="E8" s="10">
        <f>+D8*C8</f>
        <v>7500</v>
      </c>
      <c r="F8" s="10">
        <f>+E8/2*0.246+(E8/2*0.251)</f>
        <v>1863.75</v>
      </c>
      <c r="G8" s="10">
        <v>0</v>
      </c>
      <c r="H8" s="10">
        <f>+G8+F8</f>
        <v>1863.75</v>
      </c>
      <c r="I8" s="49">
        <f>(E8+H8)*1.26/J8</f>
        <v>453.7817307692308</v>
      </c>
      <c r="J8" s="10">
        <f>C8*260</f>
        <v>26</v>
      </c>
      <c r="K8" s="12">
        <f>J8*I8</f>
        <v>11798.325</v>
      </c>
      <c r="M8" s="6" t="s">
        <v>7</v>
      </c>
      <c r="N8" s="7" t="s">
        <v>6</v>
      </c>
      <c r="O8" s="41">
        <v>0.1</v>
      </c>
      <c r="P8" s="9">
        <v>75000</v>
      </c>
      <c r="Q8" s="10">
        <f>+P8*O8</f>
        <v>7500</v>
      </c>
      <c r="R8" s="10">
        <f>+Q8/2*0.246+(Q8/2*0.251)</f>
        <v>1863.75</v>
      </c>
      <c r="S8" s="10">
        <v>0</v>
      </c>
      <c r="T8" s="10">
        <f>+S8+R8</f>
        <v>1863.75</v>
      </c>
      <c r="U8" s="49">
        <f>(Q8+T8)*1.26/V8</f>
        <v>453.7817307692308</v>
      </c>
      <c r="V8" s="10">
        <f>O8*260</f>
        <v>26</v>
      </c>
      <c r="W8" s="12">
        <f>V8*U8</f>
        <v>11798.325</v>
      </c>
    </row>
    <row r="9" spans="1:23" ht="18" customHeight="1">
      <c r="A9" s="6" t="s">
        <v>37</v>
      </c>
      <c r="B9" s="7" t="s">
        <v>8</v>
      </c>
      <c r="C9" s="41">
        <v>1</v>
      </c>
      <c r="D9" s="9">
        <v>65000</v>
      </c>
      <c r="E9" s="10">
        <f>+D9/52*C9*48</f>
        <v>60000</v>
      </c>
      <c r="F9" s="10">
        <f>+E9/2*0.308+(E9/2*0.314)</f>
        <v>18660</v>
      </c>
      <c r="G9" s="10">
        <f>0.105*E9</f>
        <v>6300</v>
      </c>
      <c r="H9" s="10">
        <f>+G9+F9</f>
        <v>24960</v>
      </c>
      <c r="I9" s="49">
        <f>(E9+H9)*1.26/J9</f>
        <v>446.04</v>
      </c>
      <c r="J9" s="10">
        <f>C9*240</f>
        <v>240</v>
      </c>
      <c r="K9" s="12">
        <f>J9*I9</f>
        <v>107049.6</v>
      </c>
      <c r="M9" s="6" t="s">
        <v>37</v>
      </c>
      <c r="N9" s="7" t="s">
        <v>8</v>
      </c>
      <c r="O9" s="41">
        <v>1</v>
      </c>
      <c r="P9" s="9">
        <v>65000</v>
      </c>
      <c r="Q9" s="10">
        <f>+P9*O9</f>
        <v>65000</v>
      </c>
      <c r="R9" s="10">
        <f>+Q9/2*0.308+(Q9/2*0.314)</f>
        <v>20215</v>
      </c>
      <c r="S9" s="10">
        <f>0.105*Q9</f>
        <v>6825</v>
      </c>
      <c r="T9" s="10">
        <f>+S9+R9</f>
        <v>27040</v>
      </c>
      <c r="U9" s="49">
        <f>(Q9+T9)*1.26/V9</f>
        <v>446.03999999999996</v>
      </c>
      <c r="V9" s="10">
        <f>O9*260</f>
        <v>260</v>
      </c>
      <c r="W9" s="12">
        <f>V9*U9</f>
        <v>115970.4</v>
      </c>
    </row>
    <row r="10" spans="1:23" ht="18" customHeight="1">
      <c r="A10" s="6" t="s">
        <v>36</v>
      </c>
      <c r="B10" s="7" t="s">
        <v>8</v>
      </c>
      <c r="C10" s="41">
        <v>1</v>
      </c>
      <c r="D10" s="9">
        <v>80000</v>
      </c>
      <c r="E10" s="10">
        <f>+D10/52*C10*48</f>
        <v>73846.15384615384</v>
      </c>
      <c r="F10" s="10">
        <f>+E10/2*0.308+(E10/2*0.314)</f>
        <v>22966.153846153844</v>
      </c>
      <c r="G10" s="10">
        <f>0.105*E10</f>
        <v>7753.846153846153</v>
      </c>
      <c r="H10" s="10">
        <f>+G10+F10</f>
        <v>30719.999999999996</v>
      </c>
      <c r="I10" s="49">
        <f>(E10+H10)*1.26/J10</f>
        <v>548.9723076923077</v>
      </c>
      <c r="J10" s="10">
        <f>C10*240</f>
        <v>240</v>
      </c>
      <c r="K10" s="12">
        <f>J10*I10</f>
        <v>131753.35384615386</v>
      </c>
      <c r="M10" s="6" t="s">
        <v>36</v>
      </c>
      <c r="N10" s="7" t="s">
        <v>8</v>
      </c>
      <c r="O10" s="41">
        <v>1</v>
      </c>
      <c r="P10" s="9">
        <v>80000</v>
      </c>
      <c r="Q10" s="10">
        <f>+P10*O10</f>
        <v>80000</v>
      </c>
      <c r="R10" s="10">
        <f>+Q10/2*0.308+(Q10/2*0.314)</f>
        <v>24880</v>
      </c>
      <c r="S10" s="10">
        <f>0.105*Q10</f>
        <v>8400</v>
      </c>
      <c r="T10" s="10">
        <f>+S10+R10</f>
        <v>33280</v>
      </c>
      <c r="U10" s="49">
        <f>(Q10+T10)*1.26/V10</f>
        <v>548.9723076923076</v>
      </c>
      <c r="V10" s="10">
        <f>O10*260</f>
        <v>260</v>
      </c>
      <c r="W10" s="12">
        <f>V10*U10</f>
        <v>142732.8</v>
      </c>
    </row>
    <row r="11" spans="1:23" ht="18" customHeight="1">
      <c r="A11" s="6" t="s">
        <v>16</v>
      </c>
      <c r="B11" s="7" t="s">
        <v>8</v>
      </c>
      <c r="C11" s="41">
        <v>1</v>
      </c>
      <c r="D11" s="9">
        <v>45000</v>
      </c>
      <c r="E11" s="10">
        <f>+D11/52*C11*49</f>
        <v>42403.846153846156</v>
      </c>
      <c r="F11" s="10">
        <f>+E11/2*0.423+(E11/2*0.433)</f>
        <v>18148.846153846156</v>
      </c>
      <c r="G11" s="10">
        <f>+E11*0.098</f>
        <v>4155.576923076924</v>
      </c>
      <c r="H11" s="10">
        <f>+G11+F11</f>
        <v>22304.423076923078</v>
      </c>
      <c r="I11" s="49">
        <f>(E11+H11)*1.26/J11</f>
        <v>332.7853846153846</v>
      </c>
      <c r="J11" s="10">
        <f>C11*245</f>
        <v>245</v>
      </c>
      <c r="K11" s="12">
        <f>J11*I11</f>
        <v>81532.41923076923</v>
      </c>
      <c r="M11" s="6" t="s">
        <v>16</v>
      </c>
      <c r="N11" s="7" t="s">
        <v>8</v>
      </c>
      <c r="O11" s="41">
        <v>1</v>
      </c>
      <c r="P11" s="9">
        <v>45000</v>
      </c>
      <c r="Q11" s="10">
        <f>+P11*O11</f>
        <v>45000</v>
      </c>
      <c r="R11" s="10">
        <f>+Q11/2*0.423+(Q11/2*0.433)</f>
        <v>19260</v>
      </c>
      <c r="S11" s="10">
        <f>0.098*Q11</f>
        <v>4410</v>
      </c>
      <c r="T11" s="10">
        <f>+S11+R11</f>
        <v>23670</v>
      </c>
      <c r="U11" s="49">
        <f>(Q11+T11)*1.26/V11</f>
        <v>332.7853846153846</v>
      </c>
      <c r="V11" s="10">
        <f>O11*260</f>
        <v>260</v>
      </c>
      <c r="W11" s="12">
        <f>V11*U11</f>
        <v>86524.2</v>
      </c>
    </row>
    <row r="12" spans="1:23" ht="18" customHeight="1">
      <c r="A12" s="59" t="s">
        <v>40</v>
      </c>
      <c r="B12" s="60"/>
      <c r="C12" s="60"/>
      <c r="D12" s="60"/>
      <c r="E12" s="60"/>
      <c r="F12" s="60"/>
      <c r="G12" s="60"/>
      <c r="H12" s="60"/>
      <c r="I12" s="39"/>
      <c r="J12" s="39"/>
      <c r="K12" s="44">
        <f>SUM(K7:K11)</f>
        <v>405519.27957692306</v>
      </c>
      <c r="M12" s="59" t="s">
        <v>40</v>
      </c>
      <c r="N12" s="60"/>
      <c r="O12" s="60"/>
      <c r="P12" s="60"/>
      <c r="Q12" s="60"/>
      <c r="R12" s="60"/>
      <c r="S12" s="60"/>
      <c r="T12" s="60"/>
      <c r="U12" s="39"/>
      <c r="V12" s="39"/>
      <c r="W12" s="44">
        <f>SUM(W7:W11)</f>
        <v>430411.3065</v>
      </c>
    </row>
    <row r="13" spans="1:23" ht="18" customHeight="1">
      <c r="A13" s="59" t="s">
        <v>20</v>
      </c>
      <c r="B13" s="60"/>
      <c r="C13" s="60"/>
      <c r="D13" s="60"/>
      <c r="E13" s="60"/>
      <c r="F13" s="60"/>
      <c r="G13" s="60"/>
      <c r="H13" s="60"/>
      <c r="I13" s="39"/>
      <c r="J13" s="39"/>
      <c r="K13" s="44">
        <v>10000</v>
      </c>
      <c r="M13" s="59" t="s">
        <v>20</v>
      </c>
      <c r="N13" s="60"/>
      <c r="O13" s="60"/>
      <c r="P13" s="60"/>
      <c r="Q13" s="60"/>
      <c r="R13" s="60"/>
      <c r="S13" s="60"/>
      <c r="T13" s="60"/>
      <c r="U13" s="39"/>
      <c r="V13" s="39"/>
      <c r="W13" s="44">
        <v>10000</v>
      </c>
    </row>
    <row r="14" spans="1:23" ht="18" customHeight="1">
      <c r="A14" s="59" t="s">
        <v>21</v>
      </c>
      <c r="B14" s="60"/>
      <c r="C14" s="60"/>
      <c r="D14" s="60"/>
      <c r="E14" s="60"/>
      <c r="F14" s="60"/>
      <c r="G14" s="60"/>
      <c r="H14" s="60"/>
      <c r="I14" s="39"/>
      <c r="J14" s="39"/>
      <c r="K14" s="44">
        <v>27500</v>
      </c>
      <c r="M14" s="59" t="s">
        <v>21</v>
      </c>
      <c r="N14" s="60"/>
      <c r="O14" s="60"/>
      <c r="P14" s="60"/>
      <c r="Q14" s="60"/>
      <c r="R14" s="60"/>
      <c r="S14" s="60"/>
      <c r="T14" s="60"/>
      <c r="U14" s="39"/>
      <c r="V14" s="39"/>
      <c r="W14" s="44">
        <v>27500</v>
      </c>
    </row>
    <row r="15" spans="1:23" ht="18" customHeight="1">
      <c r="A15" s="59" t="s">
        <v>38</v>
      </c>
      <c r="B15" s="60"/>
      <c r="C15" s="60"/>
      <c r="D15" s="60"/>
      <c r="E15" s="60"/>
      <c r="F15" s="60"/>
      <c r="G15" s="60"/>
      <c r="H15" s="60"/>
      <c r="I15" s="43"/>
      <c r="J15" s="39"/>
      <c r="K15" s="44">
        <v>7500</v>
      </c>
      <c r="M15" s="59" t="s">
        <v>38</v>
      </c>
      <c r="N15" s="60"/>
      <c r="O15" s="60"/>
      <c r="P15" s="60"/>
      <c r="Q15" s="60"/>
      <c r="R15" s="60"/>
      <c r="S15" s="60"/>
      <c r="T15" s="60"/>
      <c r="U15" s="43"/>
      <c r="V15" s="39"/>
      <c r="W15" s="44">
        <v>7500</v>
      </c>
    </row>
    <row r="16" spans="1:23" ht="18" customHeight="1">
      <c r="A16" s="59" t="s">
        <v>23</v>
      </c>
      <c r="B16" s="60"/>
      <c r="C16" s="60"/>
      <c r="D16" s="60"/>
      <c r="E16" s="60"/>
      <c r="F16" s="60"/>
      <c r="G16" s="60"/>
      <c r="H16" s="60"/>
      <c r="I16" s="39"/>
      <c r="J16" s="39"/>
      <c r="K16" s="44">
        <f>SUM(K12:K15)</f>
        <v>450519.27957692306</v>
      </c>
      <c r="M16" s="59" t="s">
        <v>23</v>
      </c>
      <c r="N16" s="60"/>
      <c r="O16" s="60"/>
      <c r="P16" s="60"/>
      <c r="Q16" s="60"/>
      <c r="R16" s="60"/>
      <c r="S16" s="60"/>
      <c r="T16" s="60"/>
      <c r="U16" s="39"/>
      <c r="V16" s="39"/>
      <c r="W16" s="44">
        <f>SUM(W12:W15)</f>
        <v>475411.3065</v>
      </c>
    </row>
    <row r="17" spans="1:23" ht="18" customHeight="1">
      <c r="A17" s="59" t="s">
        <v>39</v>
      </c>
      <c r="B17" s="60"/>
      <c r="C17" s="60"/>
      <c r="D17" s="60"/>
      <c r="E17" s="60"/>
      <c r="F17" s="60"/>
      <c r="G17" s="60"/>
      <c r="H17" s="60"/>
      <c r="I17" s="39"/>
      <c r="J17" s="39"/>
      <c r="K17" s="44">
        <f>(K16-K12)*0.26</f>
        <v>11700</v>
      </c>
      <c r="M17" s="59" t="s">
        <v>39</v>
      </c>
      <c r="N17" s="60"/>
      <c r="O17" s="60"/>
      <c r="P17" s="60"/>
      <c r="Q17" s="60"/>
      <c r="R17" s="60"/>
      <c r="S17" s="60"/>
      <c r="T17" s="60"/>
      <c r="U17" s="39"/>
      <c r="V17" s="39"/>
      <c r="W17" s="44">
        <f>(W16-W12)*0.26</f>
        <v>11700</v>
      </c>
    </row>
    <row r="18" spans="1:23" ht="18" customHeight="1">
      <c r="A18" s="56" t="s">
        <v>25</v>
      </c>
      <c r="B18" s="57"/>
      <c r="C18" s="57"/>
      <c r="D18" s="57"/>
      <c r="E18" s="57"/>
      <c r="F18" s="57"/>
      <c r="G18" s="57"/>
      <c r="H18" s="57"/>
      <c r="I18" s="40"/>
      <c r="J18" s="40"/>
      <c r="K18" s="45">
        <f>+K16+K17</f>
        <v>462219.27957692306</v>
      </c>
      <c r="M18" s="56" t="s">
        <v>25</v>
      </c>
      <c r="N18" s="57"/>
      <c r="O18" s="57"/>
      <c r="P18" s="57"/>
      <c r="Q18" s="57"/>
      <c r="R18" s="57"/>
      <c r="S18" s="57"/>
      <c r="T18" s="57"/>
      <c r="U18" s="40"/>
      <c r="V18" s="40"/>
      <c r="W18" s="45">
        <f>+W16+W17</f>
        <v>487111.3065</v>
      </c>
    </row>
    <row r="19" spans="1:22" ht="18" customHeight="1">
      <c r="A19" s="28"/>
      <c r="B19" s="9"/>
      <c r="C19" s="9"/>
      <c r="E19" s="9"/>
      <c r="F19" s="9"/>
      <c r="G19" s="9"/>
      <c r="H19" s="9"/>
      <c r="I19" s="9"/>
      <c r="J19" s="9"/>
      <c r="K19" s="9"/>
      <c r="U19" s="9"/>
      <c r="V19" s="9"/>
    </row>
    <row r="20" spans="1:23" ht="18" customHeight="1">
      <c r="A20" s="64" t="s">
        <v>13</v>
      </c>
      <c r="B20" s="65"/>
      <c r="C20" s="65"/>
      <c r="D20" s="65"/>
      <c r="E20" s="65"/>
      <c r="F20" s="65"/>
      <c r="G20" s="65"/>
      <c r="H20" s="65"/>
      <c r="I20" s="65"/>
      <c r="J20" s="65"/>
      <c r="K20" s="66"/>
      <c r="M20" s="64" t="s">
        <v>13</v>
      </c>
      <c r="N20" s="65"/>
      <c r="O20" s="65"/>
      <c r="P20" s="65"/>
      <c r="Q20" s="65"/>
      <c r="R20" s="65"/>
      <c r="S20" s="65"/>
      <c r="T20" s="65"/>
      <c r="U20" s="65"/>
      <c r="V20" s="65"/>
      <c r="W20" s="66"/>
    </row>
    <row r="21" spans="1:23" ht="38.25" customHeight="1">
      <c r="A21" s="18" t="s">
        <v>0</v>
      </c>
      <c r="B21" s="19" t="s">
        <v>3</v>
      </c>
      <c r="C21" s="3" t="s">
        <v>33</v>
      </c>
      <c r="D21" s="21" t="s">
        <v>1</v>
      </c>
      <c r="E21" s="22" t="s">
        <v>2</v>
      </c>
      <c r="F21" s="22" t="s">
        <v>9</v>
      </c>
      <c r="G21" s="22" t="s">
        <v>10</v>
      </c>
      <c r="H21" s="22" t="s">
        <v>11</v>
      </c>
      <c r="I21" s="5" t="s">
        <v>42</v>
      </c>
      <c r="J21" s="5" t="s">
        <v>34</v>
      </c>
      <c r="K21" s="23" t="s">
        <v>4</v>
      </c>
      <c r="M21" s="18" t="s">
        <v>0</v>
      </c>
      <c r="N21" s="19" t="s">
        <v>3</v>
      </c>
      <c r="O21" s="20" t="s">
        <v>33</v>
      </c>
      <c r="P21" s="21" t="s">
        <v>1</v>
      </c>
      <c r="Q21" s="22" t="s">
        <v>2</v>
      </c>
      <c r="R21" s="22" t="s">
        <v>9</v>
      </c>
      <c r="S21" s="22" t="s">
        <v>10</v>
      </c>
      <c r="T21" s="22" t="s">
        <v>11</v>
      </c>
      <c r="U21" s="5" t="s">
        <v>42</v>
      </c>
      <c r="V21" s="22" t="s">
        <v>34</v>
      </c>
      <c r="W21" s="23" t="s">
        <v>4</v>
      </c>
    </row>
    <row r="22" spans="1:23" ht="18" customHeight="1">
      <c r="A22" s="6" t="s">
        <v>5</v>
      </c>
      <c r="B22" s="7" t="s">
        <v>6</v>
      </c>
      <c r="C22" s="41">
        <v>0.25</v>
      </c>
      <c r="D22" s="9">
        <v>186600</v>
      </c>
      <c r="E22" s="10">
        <f>+D22*C22</f>
        <v>46650</v>
      </c>
      <c r="F22" s="10">
        <f>+E22/2*0.251+(E22/2*0.249)</f>
        <v>11662.5</v>
      </c>
      <c r="G22" s="10">
        <v>0</v>
      </c>
      <c r="H22" s="10">
        <f>+G22+F22</f>
        <v>11662.5</v>
      </c>
      <c r="I22" s="49">
        <f>(E22+H22)*1.26/J22</f>
        <v>1130.3653846153845</v>
      </c>
      <c r="J22" s="10">
        <f>C22*260</f>
        <v>65</v>
      </c>
      <c r="K22" s="12">
        <f>J22*I22</f>
        <v>73473.75</v>
      </c>
      <c r="M22" s="6" t="s">
        <v>5</v>
      </c>
      <c r="N22" s="7" t="s">
        <v>6</v>
      </c>
      <c r="O22" s="41">
        <v>0.25</v>
      </c>
      <c r="P22" s="9">
        <v>186600</v>
      </c>
      <c r="Q22" s="10">
        <f>+P22*O22</f>
        <v>46650</v>
      </c>
      <c r="R22" s="10">
        <f>+Q22/2*0.251+(Q22/2*0.249)</f>
        <v>11662.5</v>
      </c>
      <c r="S22" s="10">
        <v>0</v>
      </c>
      <c r="T22" s="10">
        <f>+S22+R22</f>
        <v>11662.5</v>
      </c>
      <c r="U22" s="49">
        <f>(Q22+T22)*1.26/V22</f>
        <v>1130.3653846153845</v>
      </c>
      <c r="V22" s="10">
        <f>O22*260</f>
        <v>65</v>
      </c>
      <c r="W22" s="12">
        <f>V22*U22</f>
        <v>73473.75</v>
      </c>
    </row>
    <row r="23" spans="1:23" ht="18" customHeight="1">
      <c r="A23" s="6" t="s">
        <v>7</v>
      </c>
      <c r="B23" s="7" t="s">
        <v>6</v>
      </c>
      <c r="C23" s="41">
        <v>0.1</v>
      </c>
      <c r="D23" s="9">
        <f>+D8*1.03</f>
        <v>77250</v>
      </c>
      <c r="E23" s="10">
        <f>+D23*C23</f>
        <v>7725</v>
      </c>
      <c r="F23" s="10">
        <f>+E23/2*0.251+(E23/2*0.249)</f>
        <v>1931.25</v>
      </c>
      <c r="G23" s="10">
        <v>0</v>
      </c>
      <c r="H23" s="10">
        <f>+G23+F23</f>
        <v>1931.25</v>
      </c>
      <c r="I23" s="49">
        <f>(E23+H23)*1.26/J23</f>
        <v>467.9567307692308</v>
      </c>
      <c r="J23" s="10">
        <f>C23*260</f>
        <v>26</v>
      </c>
      <c r="K23" s="12">
        <f>J23*I23</f>
        <v>12166.875</v>
      </c>
      <c r="M23" s="6" t="s">
        <v>7</v>
      </c>
      <c r="N23" s="7" t="s">
        <v>6</v>
      </c>
      <c r="O23" s="41">
        <v>0.1</v>
      </c>
      <c r="P23" s="9">
        <f>+P8*1.03</f>
        <v>77250</v>
      </c>
      <c r="Q23" s="10">
        <f>+P23*O23</f>
        <v>7725</v>
      </c>
      <c r="R23" s="10">
        <f>+Q23/2*0.251+(Q23/2*0.249)</f>
        <v>1931.25</v>
      </c>
      <c r="S23" s="10">
        <v>0</v>
      </c>
      <c r="T23" s="10">
        <f>+S23+R23</f>
        <v>1931.25</v>
      </c>
      <c r="U23" s="49">
        <f>(Q23+T23)*1.26/V23</f>
        <v>467.9567307692308</v>
      </c>
      <c r="V23" s="10">
        <f>O23*260</f>
        <v>26</v>
      </c>
      <c r="W23" s="12">
        <f>V23*U23</f>
        <v>12166.875</v>
      </c>
    </row>
    <row r="24" spans="1:23" ht="18" customHeight="1">
      <c r="A24" s="6" t="s">
        <v>37</v>
      </c>
      <c r="B24" s="7" t="s">
        <v>8</v>
      </c>
      <c r="C24" s="41">
        <v>1</v>
      </c>
      <c r="D24" s="9">
        <f>+D9*1.03</f>
        <v>66950</v>
      </c>
      <c r="E24" s="10">
        <f>+D24/52*C24*48</f>
        <v>61800</v>
      </c>
      <c r="F24" s="10">
        <f>+E24/2*0.314+(E24/2*0.315)</f>
        <v>19436.1</v>
      </c>
      <c r="G24" s="10">
        <f>0.105*E24</f>
        <v>6489</v>
      </c>
      <c r="H24" s="10">
        <f>+G24+F24</f>
        <v>25925.1</v>
      </c>
      <c r="I24" s="49">
        <f>(E24+H24)*1.26/J24</f>
        <v>460.556775</v>
      </c>
      <c r="J24" s="10">
        <f>C24*240</f>
        <v>240</v>
      </c>
      <c r="K24" s="12">
        <f>J24*I24</f>
        <v>110533.626</v>
      </c>
      <c r="M24" s="6" t="s">
        <v>37</v>
      </c>
      <c r="N24" s="7" t="s">
        <v>8</v>
      </c>
      <c r="O24" s="41">
        <v>1</v>
      </c>
      <c r="P24" s="9">
        <f>+P9*1.03</f>
        <v>66950</v>
      </c>
      <c r="Q24" s="10">
        <f>+P24*O24</f>
        <v>66950</v>
      </c>
      <c r="R24" s="10">
        <f>+Q24/2*0.314+(Q24/2*0.315)</f>
        <v>21055.775</v>
      </c>
      <c r="S24" s="10">
        <f>0.105*Q24</f>
        <v>7029.75</v>
      </c>
      <c r="T24" s="10">
        <f>+S24+R24</f>
        <v>28085.525</v>
      </c>
      <c r="U24" s="49">
        <f>(Q24+T24)*1.26/V24</f>
        <v>460.55677499999996</v>
      </c>
      <c r="V24" s="10">
        <f>O24*260</f>
        <v>260</v>
      </c>
      <c r="W24" s="12">
        <f>V24*U24</f>
        <v>119744.7615</v>
      </c>
    </row>
    <row r="25" spans="1:23" ht="18" customHeight="1">
      <c r="A25" s="6" t="s">
        <v>36</v>
      </c>
      <c r="B25" s="7" t="s">
        <v>8</v>
      </c>
      <c r="C25" s="41">
        <v>1</v>
      </c>
      <c r="D25" s="9">
        <f>+D10*1.03</f>
        <v>82400</v>
      </c>
      <c r="E25" s="10">
        <f>+D25/52*C25*48</f>
        <v>76061.53846153845</v>
      </c>
      <c r="F25" s="10">
        <f>+E25/2*0.314+(E25/2*0.315)</f>
        <v>23921.353846153845</v>
      </c>
      <c r="G25" s="10">
        <f>0.105*E25</f>
        <v>7986.461538461537</v>
      </c>
      <c r="H25" s="10">
        <f>+G25+F25</f>
        <v>31907.81538461538</v>
      </c>
      <c r="I25" s="49">
        <f>(E25+H25)*1.26/J25</f>
        <v>566.8391076923076</v>
      </c>
      <c r="J25" s="10">
        <f>C25*240</f>
        <v>240</v>
      </c>
      <c r="K25" s="12">
        <f>J25*I25</f>
        <v>136041.38584615383</v>
      </c>
      <c r="M25" s="6" t="s">
        <v>36</v>
      </c>
      <c r="N25" s="7" t="s">
        <v>8</v>
      </c>
      <c r="O25" s="41">
        <v>1</v>
      </c>
      <c r="P25" s="9">
        <f>+P10*1.03</f>
        <v>82400</v>
      </c>
      <c r="Q25" s="10">
        <f>+P25*O25</f>
        <v>82400</v>
      </c>
      <c r="R25" s="10">
        <f>+Q25/2*0.314+(Q25/2*0.315)</f>
        <v>25914.8</v>
      </c>
      <c r="S25" s="10">
        <f>0.105*Q25</f>
        <v>8652</v>
      </c>
      <c r="T25" s="10">
        <f>+S25+R25</f>
        <v>34566.8</v>
      </c>
      <c r="U25" s="49">
        <f>(Q25+T25)*1.26/V25</f>
        <v>566.8391076923077</v>
      </c>
      <c r="V25" s="10">
        <f>O25*260</f>
        <v>260</v>
      </c>
      <c r="W25" s="12">
        <f>V25*U25</f>
        <v>147378.168</v>
      </c>
    </row>
    <row r="26" spans="1:23" ht="18" customHeight="1">
      <c r="A26" s="6" t="s">
        <v>16</v>
      </c>
      <c r="B26" s="7" t="s">
        <v>8</v>
      </c>
      <c r="C26" s="41">
        <v>1</v>
      </c>
      <c r="D26" s="9">
        <f>+D11*1.03</f>
        <v>46350</v>
      </c>
      <c r="E26" s="10">
        <f>+D26/52*C26*49</f>
        <v>43675.96153846154</v>
      </c>
      <c r="F26" s="10">
        <f>+E26/2*0.433+(E26/2*0.435)</f>
        <v>18955.367307692308</v>
      </c>
      <c r="G26" s="10">
        <f>+E26*0.098</f>
        <v>4280.244230769231</v>
      </c>
      <c r="H26" s="10">
        <f>+G26+F26</f>
        <v>23235.61153846154</v>
      </c>
      <c r="I26" s="49">
        <f>(E26+H26)*1.26/J26</f>
        <v>344.1166615384616</v>
      </c>
      <c r="J26" s="10">
        <f>C26*245</f>
        <v>245</v>
      </c>
      <c r="K26" s="12">
        <f>J26*I26</f>
        <v>84308.58207692309</v>
      </c>
      <c r="M26" s="6" t="s">
        <v>16</v>
      </c>
      <c r="N26" s="7" t="s">
        <v>8</v>
      </c>
      <c r="O26" s="41">
        <v>1</v>
      </c>
      <c r="P26" s="9">
        <f>+P11*1.03</f>
        <v>46350</v>
      </c>
      <c r="Q26" s="10">
        <f>+P26*O26</f>
        <v>46350</v>
      </c>
      <c r="R26" s="10">
        <f>+Q26/2*0.433+(Q26/2*0.435)</f>
        <v>20115.9</v>
      </c>
      <c r="S26" s="10">
        <f>0.098*Q26</f>
        <v>4542.3</v>
      </c>
      <c r="T26" s="10">
        <f>+S26+R26</f>
        <v>24658.2</v>
      </c>
      <c r="U26" s="49">
        <f>(Q26+T26)*1.26/V26</f>
        <v>344.1166615384615</v>
      </c>
      <c r="V26" s="10">
        <f>O26*260</f>
        <v>260</v>
      </c>
      <c r="W26" s="12">
        <f>V26*U26</f>
        <v>89470.332</v>
      </c>
    </row>
    <row r="27" spans="1:23" ht="18" customHeight="1">
      <c r="A27" s="59" t="s">
        <v>40</v>
      </c>
      <c r="B27" s="60"/>
      <c r="C27" s="60"/>
      <c r="D27" s="60"/>
      <c r="E27" s="60"/>
      <c r="F27" s="60"/>
      <c r="G27" s="60"/>
      <c r="H27" s="60"/>
      <c r="I27" s="39"/>
      <c r="J27" s="39"/>
      <c r="K27" s="44">
        <f>SUM(K22:K26)</f>
        <v>416524.2189230769</v>
      </c>
      <c r="M27" s="59" t="s">
        <v>40</v>
      </c>
      <c r="N27" s="60"/>
      <c r="O27" s="60"/>
      <c r="P27" s="60"/>
      <c r="Q27" s="60"/>
      <c r="R27" s="60"/>
      <c r="S27" s="60"/>
      <c r="T27" s="60"/>
      <c r="U27" s="39"/>
      <c r="V27" s="39"/>
      <c r="W27" s="44">
        <f>SUM(W22:W26)</f>
        <v>442233.88649999996</v>
      </c>
    </row>
    <row r="28" spans="1:23" ht="18" customHeight="1">
      <c r="A28" s="59" t="s">
        <v>20</v>
      </c>
      <c r="B28" s="60"/>
      <c r="C28" s="60"/>
      <c r="D28" s="60"/>
      <c r="E28" s="60"/>
      <c r="F28" s="60"/>
      <c r="G28" s="60"/>
      <c r="H28" s="60"/>
      <c r="I28" s="39"/>
      <c r="J28" s="39"/>
      <c r="K28" s="44">
        <f>+K13*1.03</f>
        <v>10300</v>
      </c>
      <c r="M28" s="59" t="s">
        <v>20</v>
      </c>
      <c r="N28" s="60"/>
      <c r="O28" s="60"/>
      <c r="P28" s="60"/>
      <c r="Q28" s="60"/>
      <c r="R28" s="60"/>
      <c r="S28" s="60"/>
      <c r="T28" s="60"/>
      <c r="U28" s="39"/>
      <c r="V28" s="39"/>
      <c r="W28" s="44">
        <f>+W13*1.03</f>
        <v>10300</v>
      </c>
    </row>
    <row r="29" spans="1:23" ht="18" customHeight="1">
      <c r="A29" s="59" t="s">
        <v>21</v>
      </c>
      <c r="B29" s="60"/>
      <c r="C29" s="60"/>
      <c r="D29" s="60"/>
      <c r="E29" s="60"/>
      <c r="F29" s="60"/>
      <c r="G29" s="60"/>
      <c r="H29" s="60"/>
      <c r="I29" s="39"/>
      <c r="J29" s="39"/>
      <c r="K29" s="44">
        <f>+K14*1.03</f>
        <v>28325</v>
      </c>
      <c r="M29" s="59" t="s">
        <v>21</v>
      </c>
      <c r="N29" s="60"/>
      <c r="O29" s="60"/>
      <c r="P29" s="60"/>
      <c r="Q29" s="60"/>
      <c r="R29" s="60"/>
      <c r="S29" s="60"/>
      <c r="T29" s="60"/>
      <c r="U29" s="39"/>
      <c r="V29" s="39"/>
      <c r="W29" s="44">
        <f>+W14*1.03</f>
        <v>28325</v>
      </c>
    </row>
    <row r="30" spans="1:23" ht="18" customHeight="1">
      <c r="A30" s="59" t="s">
        <v>38</v>
      </c>
      <c r="B30" s="60"/>
      <c r="C30" s="60"/>
      <c r="D30" s="60"/>
      <c r="E30" s="60"/>
      <c r="F30" s="60"/>
      <c r="G30" s="60"/>
      <c r="H30" s="60"/>
      <c r="I30" s="43"/>
      <c r="J30" s="39"/>
      <c r="K30" s="44">
        <f>+K15*1.03</f>
        <v>7725</v>
      </c>
      <c r="M30" s="59" t="s">
        <v>38</v>
      </c>
      <c r="N30" s="60"/>
      <c r="O30" s="60"/>
      <c r="P30" s="60"/>
      <c r="Q30" s="60"/>
      <c r="R30" s="60"/>
      <c r="S30" s="60"/>
      <c r="T30" s="60"/>
      <c r="U30" s="43"/>
      <c r="V30" s="39"/>
      <c r="W30" s="44">
        <f>+W15*1.03</f>
        <v>7725</v>
      </c>
    </row>
    <row r="31" spans="1:23" ht="18" customHeight="1">
      <c r="A31" s="59" t="s">
        <v>23</v>
      </c>
      <c r="B31" s="60"/>
      <c r="C31" s="60"/>
      <c r="D31" s="60"/>
      <c r="E31" s="60"/>
      <c r="F31" s="60"/>
      <c r="G31" s="60"/>
      <c r="H31" s="60"/>
      <c r="I31" s="39"/>
      <c r="J31" s="39"/>
      <c r="K31" s="44">
        <f>SUM(K27:K30)</f>
        <v>462874.2189230769</v>
      </c>
      <c r="M31" s="59" t="s">
        <v>23</v>
      </c>
      <c r="N31" s="60"/>
      <c r="O31" s="60"/>
      <c r="P31" s="60"/>
      <c r="Q31" s="60"/>
      <c r="R31" s="60"/>
      <c r="S31" s="60"/>
      <c r="T31" s="60"/>
      <c r="U31" s="39"/>
      <c r="V31" s="39"/>
      <c r="W31" s="44">
        <f>SUM(W27:W30)</f>
        <v>488583.88649999996</v>
      </c>
    </row>
    <row r="32" spans="1:23" ht="18" customHeight="1">
      <c r="A32" s="59" t="s">
        <v>39</v>
      </c>
      <c r="B32" s="60"/>
      <c r="C32" s="60"/>
      <c r="D32" s="60"/>
      <c r="E32" s="60"/>
      <c r="F32" s="60"/>
      <c r="G32" s="60"/>
      <c r="H32" s="60"/>
      <c r="I32" s="39"/>
      <c r="J32" s="39"/>
      <c r="K32" s="44">
        <f>(K31-K27)*0.26</f>
        <v>12051</v>
      </c>
      <c r="M32" s="59" t="s">
        <v>39</v>
      </c>
      <c r="N32" s="60"/>
      <c r="O32" s="60"/>
      <c r="P32" s="60"/>
      <c r="Q32" s="60"/>
      <c r="R32" s="60"/>
      <c r="S32" s="60"/>
      <c r="T32" s="60"/>
      <c r="U32" s="39"/>
      <c r="V32" s="39"/>
      <c r="W32" s="44">
        <f>(W31-W27)*0.26</f>
        <v>12051</v>
      </c>
    </row>
    <row r="33" spans="1:23" ht="18" customHeight="1">
      <c r="A33" s="56" t="s">
        <v>25</v>
      </c>
      <c r="B33" s="57"/>
      <c r="C33" s="57"/>
      <c r="D33" s="57"/>
      <c r="E33" s="57"/>
      <c r="F33" s="57"/>
      <c r="G33" s="57"/>
      <c r="H33" s="57"/>
      <c r="I33" s="40"/>
      <c r="J33" s="40"/>
      <c r="K33" s="45">
        <f>+K31+K32</f>
        <v>474925.2189230769</v>
      </c>
      <c r="M33" s="56" t="s">
        <v>25</v>
      </c>
      <c r="N33" s="57"/>
      <c r="O33" s="57"/>
      <c r="P33" s="57"/>
      <c r="Q33" s="57"/>
      <c r="R33" s="57"/>
      <c r="S33" s="57"/>
      <c r="T33" s="57"/>
      <c r="U33" s="40"/>
      <c r="V33" s="40"/>
      <c r="W33" s="45">
        <f>+W31+W32</f>
        <v>500634.88649999996</v>
      </c>
    </row>
    <row r="34" spans="2:22" ht="18" customHeight="1">
      <c r="B34" s="9"/>
      <c r="C34" s="9"/>
      <c r="E34" s="9"/>
      <c r="F34" s="9"/>
      <c r="G34" s="9"/>
      <c r="H34" s="9"/>
      <c r="I34" s="9"/>
      <c r="J34" s="9"/>
      <c r="K34" s="9"/>
      <c r="U34" s="9"/>
      <c r="V34" s="9"/>
    </row>
    <row r="35" spans="1:23" ht="18" customHeight="1">
      <c r="A35" s="64" t="s">
        <v>14</v>
      </c>
      <c r="B35" s="65"/>
      <c r="C35" s="65"/>
      <c r="D35" s="65"/>
      <c r="E35" s="65"/>
      <c r="F35" s="65"/>
      <c r="G35" s="65"/>
      <c r="H35" s="65"/>
      <c r="I35" s="65"/>
      <c r="J35" s="65"/>
      <c r="K35" s="66"/>
      <c r="M35" s="64" t="s">
        <v>14</v>
      </c>
      <c r="N35" s="65"/>
      <c r="O35" s="65"/>
      <c r="P35" s="65"/>
      <c r="Q35" s="65"/>
      <c r="R35" s="65"/>
      <c r="S35" s="65"/>
      <c r="T35" s="65"/>
      <c r="U35" s="65"/>
      <c r="V35" s="65"/>
      <c r="W35" s="66"/>
    </row>
    <row r="36" spans="1:23" ht="45" customHeight="1">
      <c r="A36" s="18" t="s">
        <v>0</v>
      </c>
      <c r="B36" s="19" t="s">
        <v>3</v>
      </c>
      <c r="C36" s="3" t="s">
        <v>33</v>
      </c>
      <c r="D36" s="21" t="s">
        <v>1</v>
      </c>
      <c r="E36" s="22" t="s">
        <v>2</v>
      </c>
      <c r="F36" s="22" t="s">
        <v>9</v>
      </c>
      <c r="G36" s="22" t="s">
        <v>10</v>
      </c>
      <c r="H36" s="22" t="s">
        <v>11</v>
      </c>
      <c r="I36" s="5" t="s">
        <v>42</v>
      </c>
      <c r="J36" s="5" t="s">
        <v>34</v>
      </c>
      <c r="K36" s="23" t="s">
        <v>4</v>
      </c>
      <c r="M36" s="18" t="s">
        <v>0</v>
      </c>
      <c r="N36" s="19" t="s">
        <v>3</v>
      </c>
      <c r="O36" s="3" t="s">
        <v>33</v>
      </c>
      <c r="P36" s="21" t="s">
        <v>1</v>
      </c>
      <c r="Q36" s="22" t="s">
        <v>2</v>
      </c>
      <c r="R36" s="22" t="s">
        <v>9</v>
      </c>
      <c r="S36" s="22" t="s">
        <v>10</v>
      </c>
      <c r="T36" s="22" t="s">
        <v>11</v>
      </c>
      <c r="U36" s="5" t="s">
        <v>42</v>
      </c>
      <c r="V36" s="5" t="s">
        <v>34</v>
      </c>
      <c r="W36" s="23" t="s">
        <v>4</v>
      </c>
    </row>
    <row r="37" spans="1:23" ht="18" customHeight="1">
      <c r="A37" s="6" t="s">
        <v>5</v>
      </c>
      <c r="B37" s="7" t="s">
        <v>6</v>
      </c>
      <c r="C37" s="41">
        <v>0.25</v>
      </c>
      <c r="D37" s="9">
        <v>186600</v>
      </c>
      <c r="E37" s="10">
        <f>+D37*C37</f>
        <v>46650</v>
      </c>
      <c r="F37" s="10">
        <f>+E37*0.249</f>
        <v>11615.85</v>
      </c>
      <c r="G37" s="10">
        <v>0</v>
      </c>
      <c r="H37" s="10">
        <f>+G37+F37</f>
        <v>11615.85</v>
      </c>
      <c r="I37" s="49">
        <f>(E37+H37)*1.26/J37</f>
        <v>1129.4610923076923</v>
      </c>
      <c r="J37" s="10">
        <f>C37*260</f>
        <v>65</v>
      </c>
      <c r="K37" s="12">
        <f>J37*I37</f>
        <v>73414.971</v>
      </c>
      <c r="M37" s="6" t="s">
        <v>5</v>
      </c>
      <c r="N37" s="7" t="s">
        <v>6</v>
      </c>
      <c r="O37" s="41">
        <v>0.25</v>
      </c>
      <c r="P37" s="9">
        <v>186600</v>
      </c>
      <c r="Q37" s="10">
        <f>+P37*O37</f>
        <v>46650</v>
      </c>
      <c r="R37" s="10">
        <f>+Q37*0.249</f>
        <v>11615.85</v>
      </c>
      <c r="S37" s="10">
        <v>0</v>
      </c>
      <c r="T37" s="10">
        <f>+S37+R37</f>
        <v>11615.85</v>
      </c>
      <c r="U37" s="50">
        <f>(Q37+T37)*1.26/V37</f>
        <v>1129.4610923076923</v>
      </c>
      <c r="V37" s="10">
        <f>O37*260</f>
        <v>65</v>
      </c>
      <c r="W37" s="12">
        <f>V37*U37</f>
        <v>73414.971</v>
      </c>
    </row>
    <row r="38" spans="1:23" ht="18" customHeight="1">
      <c r="A38" s="6" t="s">
        <v>7</v>
      </c>
      <c r="B38" s="7" t="s">
        <v>6</v>
      </c>
      <c r="C38" s="41">
        <v>0.1</v>
      </c>
      <c r="D38" s="9">
        <f>+D23*1.03</f>
        <v>79567.5</v>
      </c>
      <c r="E38" s="10">
        <f>+D38*C38</f>
        <v>7956.75</v>
      </c>
      <c r="F38" s="10">
        <f>+E38*0.249</f>
        <v>1981.23075</v>
      </c>
      <c r="G38" s="10">
        <v>0</v>
      </c>
      <c r="H38" s="10">
        <f>+G38+F38</f>
        <v>1981.23075</v>
      </c>
      <c r="I38" s="49">
        <f>(E38+H38)*1.26/J38</f>
        <v>481.6098363461539</v>
      </c>
      <c r="J38" s="10">
        <f>C38*260</f>
        <v>26</v>
      </c>
      <c r="K38" s="12">
        <f>J38*I38</f>
        <v>12521.855745</v>
      </c>
      <c r="M38" s="6" t="s">
        <v>7</v>
      </c>
      <c r="N38" s="7" t="s">
        <v>6</v>
      </c>
      <c r="O38" s="41">
        <v>0.1</v>
      </c>
      <c r="P38" s="9">
        <f>+P23*1.03</f>
        <v>79567.5</v>
      </c>
      <c r="Q38" s="10">
        <f>+P38*O38</f>
        <v>7956.75</v>
      </c>
      <c r="R38" s="10">
        <f>+Q38*0.249</f>
        <v>1981.23075</v>
      </c>
      <c r="S38" s="10">
        <v>0</v>
      </c>
      <c r="T38" s="10">
        <f>+S38+R38</f>
        <v>1981.23075</v>
      </c>
      <c r="U38" s="50">
        <f>(Q38+T38)*1.26/V38</f>
        <v>481.6098363461539</v>
      </c>
      <c r="V38" s="10">
        <f>O38*260</f>
        <v>26</v>
      </c>
      <c r="W38" s="12">
        <f>V38*U38</f>
        <v>12521.855745</v>
      </c>
    </row>
    <row r="39" spans="1:23" ht="18" customHeight="1">
      <c r="A39" s="6" t="s">
        <v>37</v>
      </c>
      <c r="B39" s="7" t="s">
        <v>8</v>
      </c>
      <c r="C39" s="41">
        <v>1</v>
      </c>
      <c r="D39" s="9">
        <f>+D24*1.03</f>
        <v>68958.5</v>
      </c>
      <c r="E39" s="10">
        <f>+D39/52*C39*48</f>
        <v>63654</v>
      </c>
      <c r="F39" s="10">
        <f>+E39*0.315</f>
        <v>20051.01</v>
      </c>
      <c r="G39" s="10">
        <f>0.105*E39</f>
        <v>6683.67</v>
      </c>
      <c r="H39" s="10">
        <f>+G39+F39</f>
        <v>26734.68</v>
      </c>
      <c r="I39" s="49">
        <f>(E39+H39)*1.26/J39</f>
        <v>474.54057</v>
      </c>
      <c r="J39" s="10">
        <f>C39*240</f>
        <v>240</v>
      </c>
      <c r="K39" s="12">
        <f>J39*I39</f>
        <v>113889.7368</v>
      </c>
      <c r="M39" s="6" t="s">
        <v>37</v>
      </c>
      <c r="N39" s="7" t="s">
        <v>8</v>
      </c>
      <c r="O39" s="41">
        <v>1</v>
      </c>
      <c r="P39" s="9">
        <f>+P24*1.03</f>
        <v>68958.5</v>
      </c>
      <c r="Q39" s="10">
        <f>+P39*O39</f>
        <v>68958.5</v>
      </c>
      <c r="R39" s="10">
        <f>+Q39*0.315</f>
        <v>21721.9275</v>
      </c>
      <c r="S39" s="10">
        <f>0.105*Q39</f>
        <v>7240.6425</v>
      </c>
      <c r="T39" s="10">
        <f>+S39+R39</f>
        <v>28962.57</v>
      </c>
      <c r="U39" s="50">
        <f>(Q39+T39)*1.26/V39</f>
        <v>474.54057</v>
      </c>
      <c r="V39" s="10">
        <f>O39*260</f>
        <v>260</v>
      </c>
      <c r="W39" s="12">
        <f>V39*U39</f>
        <v>123380.5482</v>
      </c>
    </row>
    <row r="40" spans="1:23" ht="18" customHeight="1">
      <c r="A40" s="6" t="s">
        <v>36</v>
      </c>
      <c r="B40" s="7" t="s">
        <v>8</v>
      </c>
      <c r="C40" s="41">
        <v>1</v>
      </c>
      <c r="D40" s="9">
        <f>+D25*1.03</f>
        <v>84872</v>
      </c>
      <c r="E40" s="10">
        <f>+D40/52*C40*48</f>
        <v>78343.38461538462</v>
      </c>
      <c r="F40" s="10">
        <f>+E40*0.315</f>
        <v>24678.166153846156</v>
      </c>
      <c r="G40" s="10">
        <f>0.105*E40</f>
        <v>8226.055384615385</v>
      </c>
      <c r="H40" s="10">
        <f>+G40+F40</f>
        <v>32904.22153846154</v>
      </c>
      <c r="I40" s="49">
        <f>(E40+H40)*1.26/J40</f>
        <v>584.0499323076924</v>
      </c>
      <c r="J40" s="10">
        <f>C40*240</f>
        <v>240</v>
      </c>
      <c r="K40" s="12">
        <f>J40*I40</f>
        <v>140171.98375384617</v>
      </c>
      <c r="M40" s="6" t="s">
        <v>36</v>
      </c>
      <c r="N40" s="7" t="s">
        <v>8</v>
      </c>
      <c r="O40" s="41">
        <v>1</v>
      </c>
      <c r="P40" s="9">
        <f>+P25*1.03</f>
        <v>84872</v>
      </c>
      <c r="Q40" s="10">
        <f>+P40*O40</f>
        <v>84872</v>
      </c>
      <c r="R40" s="10">
        <f>+Q40*0.315</f>
        <v>26734.68</v>
      </c>
      <c r="S40" s="10">
        <f>0.105*Q40</f>
        <v>8911.56</v>
      </c>
      <c r="T40" s="10">
        <f>+S40+R40</f>
        <v>35646.24</v>
      </c>
      <c r="U40" s="50">
        <f>(Q40+T40)*1.26/V40</f>
        <v>584.0499323076922</v>
      </c>
      <c r="V40" s="10">
        <f>O40*260</f>
        <v>260</v>
      </c>
      <c r="W40" s="12">
        <f>V40*U40</f>
        <v>151852.98239999998</v>
      </c>
    </row>
    <row r="41" spans="1:23" ht="18" customHeight="1">
      <c r="A41" s="6" t="s">
        <v>16</v>
      </c>
      <c r="B41" s="7" t="s">
        <v>8</v>
      </c>
      <c r="C41" s="41">
        <v>1</v>
      </c>
      <c r="D41" s="9">
        <f>+D26*1.03</f>
        <v>47740.5</v>
      </c>
      <c r="E41" s="10">
        <f>+D41/52*C41*49</f>
        <v>44986.24038461538</v>
      </c>
      <c r="F41" s="10">
        <f>+E41*0.435</f>
        <v>19569.01456730769</v>
      </c>
      <c r="G41" s="10">
        <f>+E41*0.098</f>
        <v>4408.6515576923075</v>
      </c>
      <c r="H41" s="10">
        <f>+G41+F41</f>
        <v>23977.666125</v>
      </c>
      <c r="I41" s="49">
        <f>(E41+H41)*1.26/J41</f>
        <v>354.67151919230764</v>
      </c>
      <c r="J41" s="10">
        <f>C41*245</f>
        <v>245</v>
      </c>
      <c r="K41" s="12">
        <f>J41*I41</f>
        <v>86894.52220211537</v>
      </c>
      <c r="M41" s="6" t="s">
        <v>16</v>
      </c>
      <c r="N41" s="7" t="s">
        <v>8</v>
      </c>
      <c r="O41" s="41">
        <v>1</v>
      </c>
      <c r="P41" s="9">
        <f>+P26*1.03</f>
        <v>47740.5</v>
      </c>
      <c r="Q41" s="10">
        <f>+P41*O41</f>
        <v>47740.5</v>
      </c>
      <c r="R41" s="10">
        <f>+Q41*0.435</f>
        <v>20767.1175</v>
      </c>
      <c r="S41" s="10">
        <f>0.098*Q41</f>
        <v>4678.569</v>
      </c>
      <c r="T41" s="10">
        <f>+S41+R41</f>
        <v>25445.6865</v>
      </c>
      <c r="U41" s="50">
        <f>(Q41+T41)*1.26/V41</f>
        <v>354.6715191923077</v>
      </c>
      <c r="V41" s="10">
        <f>O41*260</f>
        <v>260</v>
      </c>
      <c r="W41" s="12">
        <f>V41*U41</f>
        <v>92214.59499</v>
      </c>
    </row>
    <row r="42" spans="1:23" ht="18" customHeight="1">
      <c r="A42" s="59" t="s">
        <v>40</v>
      </c>
      <c r="B42" s="60"/>
      <c r="C42" s="60"/>
      <c r="D42" s="60"/>
      <c r="E42" s="60"/>
      <c r="F42" s="60"/>
      <c r="G42" s="60"/>
      <c r="H42" s="60"/>
      <c r="I42" s="39"/>
      <c r="J42" s="39"/>
      <c r="K42" s="44">
        <f>SUM(K37:K41)</f>
        <v>426893.0695009616</v>
      </c>
      <c r="M42" s="59" t="s">
        <v>40</v>
      </c>
      <c r="N42" s="60"/>
      <c r="O42" s="60"/>
      <c r="P42" s="60"/>
      <c r="Q42" s="60"/>
      <c r="R42" s="60"/>
      <c r="S42" s="60"/>
      <c r="T42" s="60"/>
      <c r="U42" s="39"/>
      <c r="V42" s="39"/>
      <c r="W42" s="44">
        <f>SUM(W37:W41)</f>
        <v>453384.952335</v>
      </c>
    </row>
    <row r="43" spans="1:23" ht="18" customHeight="1">
      <c r="A43" s="59" t="s">
        <v>20</v>
      </c>
      <c r="B43" s="60"/>
      <c r="C43" s="60"/>
      <c r="D43" s="60"/>
      <c r="E43" s="60"/>
      <c r="F43" s="60"/>
      <c r="G43" s="60"/>
      <c r="H43" s="60"/>
      <c r="I43" s="39"/>
      <c r="J43" s="39"/>
      <c r="K43" s="44">
        <f>+K28*1.03</f>
        <v>10609</v>
      </c>
      <c r="M43" s="59" t="s">
        <v>20</v>
      </c>
      <c r="N43" s="60"/>
      <c r="O43" s="60"/>
      <c r="P43" s="60"/>
      <c r="Q43" s="60"/>
      <c r="R43" s="60"/>
      <c r="S43" s="60"/>
      <c r="T43" s="60"/>
      <c r="U43" s="39"/>
      <c r="V43" s="39"/>
      <c r="W43" s="44">
        <f>+W28*1.03</f>
        <v>10609</v>
      </c>
    </row>
    <row r="44" spans="1:23" ht="18" customHeight="1">
      <c r="A44" s="59" t="s">
        <v>21</v>
      </c>
      <c r="B44" s="60"/>
      <c r="C44" s="60"/>
      <c r="D44" s="60"/>
      <c r="E44" s="60"/>
      <c r="F44" s="60"/>
      <c r="G44" s="60"/>
      <c r="H44" s="60"/>
      <c r="I44" s="39"/>
      <c r="J44" s="39"/>
      <c r="K44" s="44">
        <f>+K29*1.03</f>
        <v>29174.75</v>
      </c>
      <c r="M44" s="59" t="s">
        <v>21</v>
      </c>
      <c r="N44" s="60"/>
      <c r="O44" s="60"/>
      <c r="P44" s="60"/>
      <c r="Q44" s="60"/>
      <c r="R44" s="60"/>
      <c r="S44" s="60"/>
      <c r="T44" s="60"/>
      <c r="U44" s="39"/>
      <c r="V44" s="39"/>
      <c r="W44" s="44">
        <f>+W29*1.03</f>
        <v>29174.75</v>
      </c>
    </row>
    <row r="45" spans="1:23" ht="18" customHeight="1">
      <c r="A45" s="59" t="s">
        <v>38</v>
      </c>
      <c r="B45" s="60"/>
      <c r="C45" s="60"/>
      <c r="D45" s="60"/>
      <c r="E45" s="60"/>
      <c r="F45" s="60"/>
      <c r="G45" s="60"/>
      <c r="H45" s="60"/>
      <c r="I45" s="43"/>
      <c r="J45" s="39"/>
      <c r="K45" s="44">
        <f>+K30*1.03</f>
        <v>7956.75</v>
      </c>
      <c r="M45" s="59" t="s">
        <v>38</v>
      </c>
      <c r="N45" s="60"/>
      <c r="O45" s="60"/>
      <c r="P45" s="60"/>
      <c r="Q45" s="60"/>
      <c r="R45" s="60"/>
      <c r="S45" s="60"/>
      <c r="T45" s="60"/>
      <c r="U45" s="43"/>
      <c r="V45" s="39"/>
      <c r="W45" s="44">
        <f>+W30*1.03</f>
        <v>7956.75</v>
      </c>
    </row>
    <row r="46" spans="1:23" ht="18" customHeight="1">
      <c r="A46" s="59" t="s">
        <v>23</v>
      </c>
      <c r="B46" s="60"/>
      <c r="C46" s="60"/>
      <c r="D46" s="60"/>
      <c r="E46" s="60"/>
      <c r="F46" s="60"/>
      <c r="G46" s="60"/>
      <c r="H46" s="60"/>
      <c r="I46" s="39"/>
      <c r="J46" s="39"/>
      <c r="K46" s="44">
        <f>SUM(K42:K45)</f>
        <v>474633.5695009616</v>
      </c>
      <c r="M46" s="59" t="s">
        <v>23</v>
      </c>
      <c r="N46" s="60"/>
      <c r="O46" s="60"/>
      <c r="P46" s="60"/>
      <c r="Q46" s="60"/>
      <c r="R46" s="60"/>
      <c r="S46" s="60"/>
      <c r="T46" s="60"/>
      <c r="U46" s="39"/>
      <c r="V46" s="39"/>
      <c r="W46" s="44">
        <f>SUM(W42:W45)</f>
        <v>501125.452335</v>
      </c>
    </row>
    <row r="47" spans="1:23" ht="18" customHeight="1">
      <c r="A47" s="59" t="s">
        <v>39</v>
      </c>
      <c r="B47" s="60"/>
      <c r="C47" s="60"/>
      <c r="D47" s="60"/>
      <c r="E47" s="60"/>
      <c r="F47" s="60"/>
      <c r="G47" s="60"/>
      <c r="H47" s="60"/>
      <c r="I47" s="39"/>
      <c r="J47" s="39"/>
      <c r="K47" s="44">
        <f>(K46-K42)*0.26</f>
        <v>12412.53</v>
      </c>
      <c r="M47" s="59" t="s">
        <v>39</v>
      </c>
      <c r="N47" s="60"/>
      <c r="O47" s="60"/>
      <c r="P47" s="60"/>
      <c r="Q47" s="60"/>
      <c r="R47" s="60"/>
      <c r="S47" s="60"/>
      <c r="T47" s="60"/>
      <c r="U47" s="39"/>
      <c r="V47" s="39"/>
      <c r="W47" s="44">
        <f>(W46-W42)*0.26</f>
        <v>12412.53</v>
      </c>
    </row>
    <row r="48" spans="1:23" ht="18" customHeight="1">
      <c r="A48" s="56" t="s">
        <v>25</v>
      </c>
      <c r="B48" s="57"/>
      <c r="C48" s="57"/>
      <c r="D48" s="57"/>
      <c r="E48" s="57"/>
      <c r="F48" s="57"/>
      <c r="G48" s="57"/>
      <c r="H48" s="57"/>
      <c r="I48" s="40"/>
      <c r="J48" s="40"/>
      <c r="K48" s="45">
        <f>+K46+K47</f>
        <v>487046.0995009616</v>
      </c>
      <c r="M48" s="56" t="s">
        <v>25</v>
      </c>
      <c r="N48" s="57"/>
      <c r="O48" s="57"/>
      <c r="P48" s="57"/>
      <c r="Q48" s="57"/>
      <c r="R48" s="57"/>
      <c r="S48" s="57"/>
      <c r="T48" s="57"/>
      <c r="U48" s="40"/>
      <c r="V48" s="40"/>
      <c r="W48" s="45">
        <f>+W46+W47</f>
        <v>513537.982335</v>
      </c>
    </row>
    <row r="49" spans="14:23" ht="18" customHeight="1">
      <c r="N49" s="7"/>
      <c r="O49" s="8"/>
      <c r="Q49" s="10"/>
      <c r="R49" s="10"/>
      <c r="S49" s="10"/>
      <c r="T49" s="10"/>
      <c r="W49" s="10"/>
    </row>
    <row r="50" spans="2:22" ht="18" customHeight="1">
      <c r="B50" s="9"/>
      <c r="C50" s="9"/>
      <c r="E50" s="9"/>
      <c r="F50" s="9"/>
      <c r="G50" s="9"/>
      <c r="H50" s="9"/>
      <c r="I50" s="9"/>
      <c r="J50" s="9"/>
      <c r="K50" s="9"/>
      <c r="U50" s="9"/>
      <c r="V50" s="9"/>
    </row>
    <row r="51" spans="1:23" ht="18" customHeight="1">
      <c r="A51" s="64" t="s">
        <v>15</v>
      </c>
      <c r="B51" s="65"/>
      <c r="C51" s="65"/>
      <c r="D51" s="65"/>
      <c r="E51" s="65"/>
      <c r="F51" s="65"/>
      <c r="G51" s="65"/>
      <c r="H51" s="65"/>
      <c r="I51" s="65"/>
      <c r="J51" s="65"/>
      <c r="K51" s="66"/>
      <c r="M51" s="64" t="s">
        <v>15</v>
      </c>
      <c r="N51" s="65"/>
      <c r="O51" s="65"/>
      <c r="P51" s="65"/>
      <c r="Q51" s="65"/>
      <c r="R51" s="65"/>
      <c r="S51" s="65"/>
      <c r="T51" s="65"/>
      <c r="U51" s="65"/>
      <c r="V51" s="65"/>
      <c r="W51" s="66"/>
    </row>
    <row r="52" spans="1:23" ht="26.25" customHeight="1">
      <c r="A52" s="18" t="s">
        <v>0</v>
      </c>
      <c r="B52" s="19" t="s">
        <v>3</v>
      </c>
      <c r="C52" s="3" t="s">
        <v>33</v>
      </c>
      <c r="D52" s="21" t="s">
        <v>1</v>
      </c>
      <c r="E52" s="22" t="s">
        <v>2</v>
      </c>
      <c r="F52" s="22" t="s">
        <v>9</v>
      </c>
      <c r="G52" s="22" t="s">
        <v>10</v>
      </c>
      <c r="H52" s="22" t="s">
        <v>11</v>
      </c>
      <c r="I52" s="5" t="s">
        <v>42</v>
      </c>
      <c r="J52" s="5" t="s">
        <v>34</v>
      </c>
      <c r="K52" s="23" t="s">
        <v>4</v>
      </c>
      <c r="M52" s="18" t="s">
        <v>0</v>
      </c>
      <c r="N52" s="19" t="s">
        <v>3</v>
      </c>
      <c r="O52" s="3" t="s">
        <v>33</v>
      </c>
      <c r="P52" s="21" t="s">
        <v>1</v>
      </c>
      <c r="Q52" s="22" t="s">
        <v>2</v>
      </c>
      <c r="R52" s="22" t="s">
        <v>9</v>
      </c>
      <c r="S52" s="22" t="s">
        <v>10</v>
      </c>
      <c r="T52" s="22" t="s">
        <v>11</v>
      </c>
      <c r="U52" s="5" t="s">
        <v>42</v>
      </c>
      <c r="V52" s="5" t="s">
        <v>34</v>
      </c>
      <c r="W52" s="23" t="s">
        <v>4</v>
      </c>
    </row>
    <row r="53" spans="1:23" ht="18" customHeight="1">
      <c r="A53" s="6" t="s">
        <v>5</v>
      </c>
      <c r="B53" s="7" t="s">
        <v>6</v>
      </c>
      <c r="C53" s="41">
        <v>0.25</v>
      </c>
      <c r="D53" s="9">
        <v>186600</v>
      </c>
      <c r="E53" s="10">
        <f>+D53*C53</f>
        <v>46650</v>
      </c>
      <c r="F53" s="10">
        <f>+E53*0.249</f>
        <v>11615.85</v>
      </c>
      <c r="G53" s="10">
        <v>0</v>
      </c>
      <c r="H53" s="10">
        <f>+G53+F53</f>
        <v>11615.85</v>
      </c>
      <c r="I53" s="49">
        <f>(E53+H53)*1.26/J53</f>
        <v>1129.4610923076923</v>
      </c>
      <c r="J53" s="10">
        <f>C53*260</f>
        <v>65</v>
      </c>
      <c r="K53" s="12">
        <f>J53*I53</f>
        <v>73414.971</v>
      </c>
      <c r="M53" s="6" t="s">
        <v>5</v>
      </c>
      <c r="N53" s="7" t="s">
        <v>6</v>
      </c>
      <c r="O53" s="41">
        <v>0.25</v>
      </c>
      <c r="P53" s="9">
        <v>186600</v>
      </c>
      <c r="Q53" s="10">
        <f>+P53*O53</f>
        <v>46650</v>
      </c>
      <c r="R53" s="10">
        <f>+Q53*0.249</f>
        <v>11615.85</v>
      </c>
      <c r="S53" s="10">
        <v>0</v>
      </c>
      <c r="T53" s="10">
        <f>+S53+R53</f>
        <v>11615.85</v>
      </c>
      <c r="U53" s="49">
        <f>(Q53+T53)*1.26/V53</f>
        <v>1129.4610923076923</v>
      </c>
      <c r="V53" s="10">
        <f>O53*260</f>
        <v>65</v>
      </c>
      <c r="W53" s="12">
        <f>V53*U53</f>
        <v>73414.971</v>
      </c>
    </row>
    <row r="54" spans="1:23" ht="18" customHeight="1">
      <c r="A54" s="6" t="s">
        <v>7</v>
      </c>
      <c r="B54" s="7" t="s">
        <v>6</v>
      </c>
      <c r="C54" s="41">
        <v>0.1</v>
      </c>
      <c r="D54" s="9">
        <f>+D38*1.03</f>
        <v>81954.52500000001</v>
      </c>
      <c r="E54" s="10">
        <f>+D54*C54</f>
        <v>8195.452500000001</v>
      </c>
      <c r="F54" s="10">
        <f>+E54*0.249</f>
        <v>2040.6676725000002</v>
      </c>
      <c r="G54" s="10">
        <v>0</v>
      </c>
      <c r="H54" s="10">
        <f>+G54+F54</f>
        <v>2040.6676725000002</v>
      </c>
      <c r="I54" s="49">
        <f>(E54+H54)*1.26/J54</f>
        <v>496.0581314365385</v>
      </c>
      <c r="J54" s="10">
        <f>C54*260</f>
        <v>26</v>
      </c>
      <c r="K54" s="12">
        <f>J54*I54</f>
        <v>12897.51141735</v>
      </c>
      <c r="M54" s="6" t="s">
        <v>7</v>
      </c>
      <c r="N54" s="7" t="s">
        <v>6</v>
      </c>
      <c r="O54" s="41">
        <v>0.1</v>
      </c>
      <c r="P54" s="9">
        <f>+P38*1.03</f>
        <v>81954.52500000001</v>
      </c>
      <c r="Q54" s="10">
        <f>+P54*O54</f>
        <v>8195.452500000001</v>
      </c>
      <c r="R54" s="10">
        <f>+Q54*0.249</f>
        <v>2040.6676725000002</v>
      </c>
      <c r="S54" s="10">
        <v>0</v>
      </c>
      <c r="T54" s="10">
        <f>+S54+R54</f>
        <v>2040.6676725000002</v>
      </c>
      <c r="U54" s="49">
        <f>(Q54+T54)*1.26/V54</f>
        <v>496.0581314365385</v>
      </c>
      <c r="V54" s="10">
        <f>O54*260</f>
        <v>26</v>
      </c>
      <c r="W54" s="12">
        <f>V54*U54</f>
        <v>12897.51141735</v>
      </c>
    </row>
    <row r="55" spans="1:23" ht="18" customHeight="1">
      <c r="A55" s="6" t="s">
        <v>37</v>
      </c>
      <c r="B55" s="7" t="s">
        <v>8</v>
      </c>
      <c r="C55" s="41">
        <v>1</v>
      </c>
      <c r="D55" s="9">
        <f>+D39*1.03</f>
        <v>71027.255</v>
      </c>
      <c r="E55" s="10">
        <f>+D55/52*C55*48</f>
        <v>65563.62</v>
      </c>
      <c r="F55" s="10">
        <f>+E55*0.315</f>
        <v>20652.540299999997</v>
      </c>
      <c r="G55" s="10">
        <f>0.105*E55</f>
        <v>6884.1801</v>
      </c>
      <c r="H55" s="10">
        <f>+G55+F55</f>
        <v>27536.7204</v>
      </c>
      <c r="I55" s="49">
        <f>(E55+H55)*1.26/J55</f>
        <v>488.7767870999999</v>
      </c>
      <c r="J55" s="10">
        <f>C55*240</f>
        <v>240</v>
      </c>
      <c r="K55" s="12">
        <f>J55*I55</f>
        <v>117306.42890399999</v>
      </c>
      <c r="M55" s="6" t="s">
        <v>37</v>
      </c>
      <c r="N55" s="7" t="s">
        <v>8</v>
      </c>
      <c r="O55" s="41">
        <v>1</v>
      </c>
      <c r="P55" s="9">
        <f>+P39*1.03</f>
        <v>71027.255</v>
      </c>
      <c r="Q55" s="10">
        <f>+P55*O55</f>
        <v>71027.255</v>
      </c>
      <c r="R55" s="10">
        <f>+Q55*0.315</f>
        <v>22373.585325</v>
      </c>
      <c r="S55" s="10">
        <f>0.105*Q55</f>
        <v>7457.861775</v>
      </c>
      <c r="T55" s="10">
        <f>+S55+R55</f>
        <v>29831.4471</v>
      </c>
      <c r="U55" s="49">
        <f>(Q55+T55)*1.26/V55</f>
        <v>488.77678710000004</v>
      </c>
      <c r="V55" s="10">
        <f>O55*260</f>
        <v>260</v>
      </c>
      <c r="W55" s="12">
        <f>V55*U55</f>
        <v>127081.96464600001</v>
      </c>
    </row>
    <row r="56" spans="1:23" ht="18" customHeight="1">
      <c r="A56" s="6" t="s">
        <v>36</v>
      </c>
      <c r="B56" s="7" t="s">
        <v>8</v>
      </c>
      <c r="C56" s="41">
        <v>1</v>
      </c>
      <c r="D56" s="9">
        <f>+D40*1.03</f>
        <v>87418.16</v>
      </c>
      <c r="E56" s="10">
        <f>+D56/52*C56*48</f>
        <v>80693.68615384615</v>
      </c>
      <c r="F56" s="10">
        <f>+E56*0.315</f>
        <v>25418.511138461537</v>
      </c>
      <c r="G56" s="10">
        <f>0.105*E56</f>
        <v>8472.837046153845</v>
      </c>
      <c r="H56" s="10">
        <f>+G56+F56</f>
        <v>33891.34818461538</v>
      </c>
      <c r="I56" s="49">
        <f>(E56+H56)*1.26/J56</f>
        <v>601.571430276923</v>
      </c>
      <c r="J56" s="10">
        <f>C56*240</f>
        <v>240</v>
      </c>
      <c r="K56" s="12">
        <f>J56*I56</f>
        <v>144377.14326646153</v>
      </c>
      <c r="M56" s="6" t="s">
        <v>36</v>
      </c>
      <c r="N56" s="7" t="s">
        <v>8</v>
      </c>
      <c r="O56" s="41">
        <v>1</v>
      </c>
      <c r="P56" s="9">
        <f>+P40*1.03</f>
        <v>87418.16</v>
      </c>
      <c r="Q56" s="10">
        <f>+P56*O56</f>
        <v>87418.16</v>
      </c>
      <c r="R56" s="10">
        <f>+Q56*0.315</f>
        <v>27536.720400000002</v>
      </c>
      <c r="S56" s="10">
        <f>0.105*Q56</f>
        <v>9178.9068</v>
      </c>
      <c r="T56" s="10">
        <f>+S56+R56</f>
        <v>36715.6272</v>
      </c>
      <c r="U56" s="49">
        <f>(Q56+T56)*1.26/V56</f>
        <v>601.571430276923</v>
      </c>
      <c r="V56" s="10">
        <f>O56*260</f>
        <v>260</v>
      </c>
      <c r="W56" s="12">
        <f>V56*U56</f>
        <v>156408.571872</v>
      </c>
    </row>
    <row r="57" spans="1:23" ht="18" customHeight="1">
      <c r="A57" s="6" t="s">
        <v>16</v>
      </c>
      <c r="B57" s="7" t="s">
        <v>8</v>
      </c>
      <c r="C57" s="41">
        <v>1</v>
      </c>
      <c r="D57" s="9">
        <f>+D41*1.03</f>
        <v>49172.715000000004</v>
      </c>
      <c r="E57" s="10">
        <f>+D57/52*C57*49</f>
        <v>46335.82759615385</v>
      </c>
      <c r="F57" s="10">
        <f>+E57*0.435</f>
        <v>20156.085004326927</v>
      </c>
      <c r="G57" s="10">
        <f>+E57*0.098</f>
        <v>4540.911104423078</v>
      </c>
      <c r="H57" s="10">
        <f>+G57+F57</f>
        <v>24696.996108750005</v>
      </c>
      <c r="I57" s="49">
        <f>(E57+H57)*1.26/J57</f>
        <v>365.311664768077</v>
      </c>
      <c r="J57" s="10">
        <f>C57*245</f>
        <v>245</v>
      </c>
      <c r="K57" s="12">
        <f>J57*I57</f>
        <v>89501.35786817886</v>
      </c>
      <c r="M57" s="6" t="s">
        <v>16</v>
      </c>
      <c r="N57" s="7" t="s">
        <v>8</v>
      </c>
      <c r="O57" s="41">
        <v>1</v>
      </c>
      <c r="P57" s="9">
        <f>+P41*1.03</f>
        <v>49172.715000000004</v>
      </c>
      <c r="Q57" s="10">
        <f>+P57*O57</f>
        <v>49172.715000000004</v>
      </c>
      <c r="R57" s="10">
        <f>+Q57*0.435</f>
        <v>21390.131025000002</v>
      </c>
      <c r="S57" s="10">
        <f>0.098*Q57</f>
        <v>4818.92607</v>
      </c>
      <c r="T57" s="10">
        <f>+S57+R57</f>
        <v>26209.057095000004</v>
      </c>
      <c r="U57" s="49">
        <f>(Q57+T57)*1.26/V57</f>
        <v>365.311664768077</v>
      </c>
      <c r="V57" s="10">
        <f>O57*260</f>
        <v>260</v>
      </c>
      <c r="W57" s="12">
        <f>V57*U57</f>
        <v>94981.03283970001</v>
      </c>
    </row>
    <row r="58" spans="1:23" ht="18" customHeight="1">
      <c r="A58" s="59" t="s">
        <v>40</v>
      </c>
      <c r="B58" s="60"/>
      <c r="C58" s="60"/>
      <c r="D58" s="60"/>
      <c r="E58" s="60"/>
      <c r="F58" s="60"/>
      <c r="G58" s="60"/>
      <c r="H58" s="60"/>
      <c r="I58" s="39"/>
      <c r="J58" s="39"/>
      <c r="K58" s="44">
        <f>SUM(K53:K57)</f>
        <v>437497.4124559904</v>
      </c>
      <c r="M58" s="59" t="s">
        <v>40</v>
      </c>
      <c r="N58" s="60"/>
      <c r="O58" s="60"/>
      <c r="P58" s="60"/>
      <c r="Q58" s="60"/>
      <c r="R58" s="60"/>
      <c r="S58" s="60"/>
      <c r="T58" s="60"/>
      <c r="U58" s="39"/>
      <c r="V58" s="39"/>
      <c r="W58" s="44">
        <f>SUM(W53:W57)</f>
        <v>464784.05177505</v>
      </c>
    </row>
    <row r="59" spans="1:23" ht="18" customHeight="1">
      <c r="A59" s="59" t="s">
        <v>20</v>
      </c>
      <c r="B59" s="60"/>
      <c r="C59" s="60"/>
      <c r="D59" s="60"/>
      <c r="E59" s="60"/>
      <c r="F59" s="60"/>
      <c r="G59" s="60"/>
      <c r="H59" s="60"/>
      <c r="I59" s="39"/>
      <c r="J59" s="39"/>
      <c r="K59" s="44">
        <f>+K43*1.03</f>
        <v>10927.27</v>
      </c>
      <c r="M59" s="59" t="s">
        <v>20</v>
      </c>
      <c r="N59" s="60"/>
      <c r="O59" s="60"/>
      <c r="P59" s="60"/>
      <c r="Q59" s="60"/>
      <c r="R59" s="60"/>
      <c r="S59" s="60"/>
      <c r="T59" s="60"/>
      <c r="U59" s="39"/>
      <c r="V59" s="39"/>
      <c r="W59" s="44">
        <f>+W43*1.03</f>
        <v>10927.27</v>
      </c>
    </row>
    <row r="60" spans="1:23" ht="18" customHeight="1">
      <c r="A60" s="59" t="s">
        <v>21</v>
      </c>
      <c r="B60" s="60"/>
      <c r="C60" s="60"/>
      <c r="D60" s="60"/>
      <c r="E60" s="60"/>
      <c r="F60" s="60"/>
      <c r="G60" s="60"/>
      <c r="H60" s="60"/>
      <c r="I60" s="39"/>
      <c r="J60" s="39"/>
      <c r="K60" s="44">
        <f>+K44*1.03</f>
        <v>30049.9925</v>
      </c>
      <c r="M60" s="59" t="s">
        <v>21</v>
      </c>
      <c r="N60" s="60"/>
      <c r="O60" s="60"/>
      <c r="P60" s="60"/>
      <c r="Q60" s="60"/>
      <c r="R60" s="60"/>
      <c r="S60" s="60"/>
      <c r="T60" s="60"/>
      <c r="U60" s="39"/>
      <c r="V60" s="39"/>
      <c r="W60" s="44">
        <f>+W44*1.03</f>
        <v>30049.9925</v>
      </c>
    </row>
    <row r="61" spans="1:23" ht="18" customHeight="1">
      <c r="A61" s="59" t="s">
        <v>38</v>
      </c>
      <c r="B61" s="60"/>
      <c r="C61" s="60"/>
      <c r="D61" s="60"/>
      <c r="E61" s="60"/>
      <c r="F61" s="60"/>
      <c r="G61" s="60"/>
      <c r="H61" s="60"/>
      <c r="I61" s="43"/>
      <c r="J61" s="39"/>
      <c r="K61" s="44">
        <f>+K45*1.03</f>
        <v>8195.4525</v>
      </c>
      <c r="M61" s="59" t="s">
        <v>38</v>
      </c>
      <c r="N61" s="60"/>
      <c r="O61" s="60"/>
      <c r="P61" s="60"/>
      <c r="Q61" s="60"/>
      <c r="R61" s="60"/>
      <c r="S61" s="60"/>
      <c r="T61" s="60"/>
      <c r="U61" s="43"/>
      <c r="V61" s="39"/>
      <c r="W61" s="44">
        <f>+W45*1.03</f>
        <v>8195.4525</v>
      </c>
    </row>
    <row r="62" spans="1:23" ht="18" customHeight="1">
      <c r="A62" s="59" t="s">
        <v>23</v>
      </c>
      <c r="B62" s="60"/>
      <c r="C62" s="60"/>
      <c r="D62" s="60"/>
      <c r="E62" s="60"/>
      <c r="F62" s="60"/>
      <c r="G62" s="60"/>
      <c r="H62" s="60"/>
      <c r="I62" s="39"/>
      <c r="J62" s="39"/>
      <c r="K62" s="44">
        <f>SUM(K58:K61)</f>
        <v>486670.1274559904</v>
      </c>
      <c r="M62" s="59" t="s">
        <v>23</v>
      </c>
      <c r="N62" s="60"/>
      <c r="O62" s="60"/>
      <c r="P62" s="60"/>
      <c r="Q62" s="60"/>
      <c r="R62" s="60"/>
      <c r="S62" s="60"/>
      <c r="T62" s="60"/>
      <c r="U62" s="39"/>
      <c r="V62" s="39"/>
      <c r="W62" s="44">
        <f>SUM(W58:W61)</f>
        <v>513956.76677505</v>
      </c>
    </row>
    <row r="63" spans="1:23" ht="18" customHeight="1">
      <c r="A63" s="59" t="s">
        <v>39</v>
      </c>
      <c r="B63" s="60"/>
      <c r="C63" s="60"/>
      <c r="D63" s="60"/>
      <c r="E63" s="60"/>
      <c r="F63" s="60"/>
      <c r="G63" s="60"/>
      <c r="H63" s="60"/>
      <c r="I63" s="39"/>
      <c r="J63" s="39"/>
      <c r="K63" s="44">
        <f>(K62-K58)*0.26</f>
        <v>12784.905900000007</v>
      </c>
      <c r="M63" s="59" t="s">
        <v>39</v>
      </c>
      <c r="N63" s="60"/>
      <c r="O63" s="60"/>
      <c r="P63" s="60"/>
      <c r="Q63" s="60"/>
      <c r="R63" s="60"/>
      <c r="S63" s="60"/>
      <c r="T63" s="60"/>
      <c r="U63" s="39"/>
      <c r="V63" s="39"/>
      <c r="W63" s="44">
        <f>(W62-W58)*0.26</f>
        <v>12784.905900000007</v>
      </c>
    </row>
    <row r="64" spans="1:23" ht="18" customHeight="1">
      <c r="A64" s="56" t="s">
        <v>25</v>
      </c>
      <c r="B64" s="57"/>
      <c r="C64" s="57"/>
      <c r="D64" s="57"/>
      <c r="E64" s="57"/>
      <c r="F64" s="57"/>
      <c r="G64" s="57"/>
      <c r="H64" s="57"/>
      <c r="I64" s="40"/>
      <c r="J64" s="40"/>
      <c r="K64" s="45">
        <f>+K62+K63</f>
        <v>499455.0333559904</v>
      </c>
      <c r="M64" s="56" t="s">
        <v>25</v>
      </c>
      <c r="N64" s="57"/>
      <c r="O64" s="57"/>
      <c r="P64" s="57"/>
      <c r="Q64" s="57"/>
      <c r="R64" s="57"/>
      <c r="S64" s="57"/>
      <c r="T64" s="57"/>
      <c r="U64" s="40"/>
      <c r="V64" s="40"/>
      <c r="W64" s="45">
        <f>+W62+W63</f>
        <v>526741.67267505</v>
      </c>
    </row>
    <row r="66" spans="4:23" ht="18" customHeight="1">
      <c r="D66" s="28" t="s">
        <v>17</v>
      </c>
      <c r="G66" s="53" t="s">
        <v>17</v>
      </c>
      <c r="H66" s="53"/>
      <c r="I66" s="42"/>
      <c r="J66" s="42"/>
      <c r="K66" s="27">
        <f>+K64+K48+K33+K18</f>
        <v>1923645.631356952</v>
      </c>
      <c r="P66" s="51" t="s">
        <v>17</v>
      </c>
      <c r="S66" s="52" t="s">
        <v>17</v>
      </c>
      <c r="T66" s="52"/>
      <c r="U66" s="42"/>
      <c r="V66" s="42"/>
      <c r="W66" s="38">
        <f>+W64+W48+W33+W18</f>
        <v>2028025.84801005</v>
      </c>
    </row>
    <row r="67" spans="1:23" ht="18" customHeight="1">
      <c r="A67" s="54" t="s">
        <v>43</v>
      </c>
      <c r="G67" s="42"/>
      <c r="H67" s="42"/>
      <c r="I67" s="42"/>
      <c r="J67" s="42"/>
      <c r="K67" s="46"/>
      <c r="S67" s="47"/>
      <c r="T67" s="47"/>
      <c r="U67" s="42"/>
      <c r="V67" s="42"/>
      <c r="W67" s="46"/>
    </row>
    <row r="68" spans="1:23" ht="18" customHeight="1">
      <c r="A68" s="55" t="s">
        <v>44</v>
      </c>
      <c r="G68" s="42"/>
      <c r="H68" s="42"/>
      <c r="I68" s="42"/>
      <c r="J68" s="42"/>
      <c r="K68" s="46"/>
      <c r="S68" s="47"/>
      <c r="T68" s="47"/>
      <c r="U68" s="42"/>
      <c r="V68" s="42"/>
      <c r="W68" s="46"/>
    </row>
    <row r="69" spans="1:23" ht="18" customHeight="1">
      <c r="A69" s="48" t="s">
        <v>41</v>
      </c>
      <c r="G69" s="42"/>
      <c r="H69" s="42"/>
      <c r="I69" s="42"/>
      <c r="J69" s="42"/>
      <c r="K69" s="46"/>
      <c r="S69" s="47"/>
      <c r="T69" s="47"/>
      <c r="U69" s="42"/>
      <c r="V69" s="42"/>
      <c r="W69" s="46"/>
    </row>
    <row r="70" ht="18" customHeight="1">
      <c r="A70" s="48" t="s">
        <v>45</v>
      </c>
    </row>
  </sheetData>
  <mergeCells count="67">
    <mergeCell ref="A16:H16"/>
    <mergeCell ref="A17:H17"/>
    <mergeCell ref="A18:H18"/>
    <mergeCell ref="A12:H12"/>
    <mergeCell ref="A13:H13"/>
    <mergeCell ref="A14:H14"/>
    <mergeCell ref="A15:H15"/>
    <mergeCell ref="M33:T33"/>
    <mergeCell ref="A29:H29"/>
    <mergeCell ref="A30:H30"/>
    <mergeCell ref="M12:T12"/>
    <mergeCell ref="M13:T13"/>
    <mergeCell ref="M14:T14"/>
    <mergeCell ref="M15:T15"/>
    <mergeCell ref="M16:T16"/>
    <mergeCell ref="M17:T17"/>
    <mergeCell ref="M18:T18"/>
    <mergeCell ref="M29:T29"/>
    <mergeCell ref="M30:T30"/>
    <mergeCell ref="M31:T31"/>
    <mergeCell ref="M32:T32"/>
    <mergeCell ref="A61:H61"/>
    <mergeCell ref="A62:H62"/>
    <mergeCell ref="A63:H63"/>
    <mergeCell ref="A64:H64"/>
    <mergeCell ref="M46:T46"/>
    <mergeCell ref="M47:T47"/>
    <mergeCell ref="M48:T48"/>
    <mergeCell ref="M63:T63"/>
    <mergeCell ref="M51:W51"/>
    <mergeCell ref="M61:T61"/>
    <mergeCell ref="M62:T62"/>
    <mergeCell ref="M42:T42"/>
    <mergeCell ref="M43:T43"/>
    <mergeCell ref="M44:T44"/>
    <mergeCell ref="M45:T45"/>
    <mergeCell ref="A45:H45"/>
    <mergeCell ref="A46:H46"/>
    <mergeCell ref="A47:H47"/>
    <mergeCell ref="A48:H48"/>
    <mergeCell ref="A20:K20"/>
    <mergeCell ref="M35:W35"/>
    <mergeCell ref="M27:T27"/>
    <mergeCell ref="M28:T28"/>
    <mergeCell ref="A27:H27"/>
    <mergeCell ref="A28:H28"/>
    <mergeCell ref="A31:H31"/>
    <mergeCell ref="A32:H32"/>
    <mergeCell ref="A33:H33"/>
    <mergeCell ref="A35:K35"/>
    <mergeCell ref="A51:K51"/>
    <mergeCell ref="M58:T58"/>
    <mergeCell ref="M59:T59"/>
    <mergeCell ref="M60:T60"/>
    <mergeCell ref="A58:H58"/>
    <mergeCell ref="A59:H59"/>
    <mergeCell ref="A60:H60"/>
    <mergeCell ref="M64:T64"/>
    <mergeCell ref="A1:W1"/>
    <mergeCell ref="A42:H42"/>
    <mergeCell ref="A43:H43"/>
    <mergeCell ref="A44:H44"/>
    <mergeCell ref="M3:W3"/>
    <mergeCell ref="M5:W5"/>
    <mergeCell ref="A3:K3"/>
    <mergeCell ref="A5:K5"/>
    <mergeCell ref="M20:W20"/>
  </mergeCells>
  <printOptions horizontalCentered="1" verticalCentered="1"/>
  <pageMargins left="0.5" right="0.25" top="0.74" bottom="0.7" header="0.5" footer="0.5"/>
  <pageSetup fitToHeight="1" fitToWidth="1" horizontalDpi="600" verticalDpi="600" orientation="portrait" scale="56" r:id="rId1"/>
</worksheet>
</file>

<file path=xl/worksheets/sheet2.xml><?xml version="1.0" encoding="utf-8"?>
<worksheet xmlns="http://schemas.openxmlformats.org/spreadsheetml/2006/main" xmlns:r="http://schemas.openxmlformats.org/officeDocument/2006/relationships">
  <dimension ref="A1:F18"/>
  <sheetViews>
    <sheetView workbookViewId="0" topLeftCell="A1">
      <selection activeCell="A14" sqref="A14:IV14"/>
    </sheetView>
  </sheetViews>
  <sheetFormatPr defaultColWidth="9.140625" defaultRowHeight="18" customHeight="1"/>
  <cols>
    <col min="1" max="1" width="41.8515625" style="29" customWidth="1"/>
    <col min="2" max="6" width="11.7109375" style="0" customWidth="1"/>
  </cols>
  <sheetData>
    <row r="1" spans="1:6" ht="18" customHeight="1">
      <c r="A1" s="32" t="s">
        <v>32</v>
      </c>
      <c r="B1" s="33" t="s">
        <v>26</v>
      </c>
      <c r="C1" s="33" t="s">
        <v>27</v>
      </c>
      <c r="D1" s="33" t="s">
        <v>28</v>
      </c>
      <c r="E1" s="33" t="s">
        <v>29</v>
      </c>
      <c r="F1" s="34" t="s">
        <v>4</v>
      </c>
    </row>
    <row r="2" spans="1:6" ht="18" customHeight="1">
      <c r="A2" s="30" t="s">
        <v>31</v>
      </c>
      <c r="B2" s="10">
        <f>+Sheet1!K12</f>
        <v>405519.27957692306</v>
      </c>
      <c r="C2" s="10">
        <f>+Sheet1!K27</f>
        <v>416524.2189230769</v>
      </c>
      <c r="D2" s="10">
        <f>+Sheet1!K42</f>
        <v>426893.0695009616</v>
      </c>
      <c r="E2" s="10">
        <f>+Sheet1!K58</f>
        <v>437497.4124559904</v>
      </c>
      <c r="F2" s="12">
        <f>SUM(B2:E2)</f>
        <v>1686433.980456952</v>
      </c>
    </row>
    <row r="3" spans="1:6" ht="18" customHeight="1">
      <c r="A3" s="30" t="s">
        <v>20</v>
      </c>
      <c r="B3" s="10">
        <f>+Sheet1!K13</f>
        <v>10000</v>
      </c>
      <c r="C3" s="10">
        <f>+Sheet1!K28</f>
        <v>10300</v>
      </c>
      <c r="D3" s="10">
        <f>+Sheet1!K43</f>
        <v>10609</v>
      </c>
      <c r="E3" s="10">
        <f>+Sheet1!K59</f>
        <v>10927.27</v>
      </c>
      <c r="F3" s="12">
        <f aca="true" t="shared" si="0" ref="F3:F8">SUM(B3:E3)</f>
        <v>41836.270000000004</v>
      </c>
    </row>
    <row r="4" spans="1:6" ht="18" customHeight="1">
      <c r="A4" s="30" t="s">
        <v>21</v>
      </c>
      <c r="B4" s="10">
        <f>+Sheet1!K14</f>
        <v>27500</v>
      </c>
      <c r="C4" s="10">
        <f>+Sheet1!K29</f>
        <v>28325</v>
      </c>
      <c r="D4" s="10">
        <f>+Sheet1!K44</f>
        <v>29174.75</v>
      </c>
      <c r="E4" s="10">
        <f>+Sheet1!K60</f>
        <v>30049.9925</v>
      </c>
      <c r="F4" s="12">
        <f t="shared" si="0"/>
        <v>115049.7425</v>
      </c>
    </row>
    <row r="5" spans="1:6" ht="18" customHeight="1">
      <c r="A5" s="30" t="s">
        <v>22</v>
      </c>
      <c r="B5" s="10">
        <f>+Sheet1!K15</f>
        <v>7500</v>
      </c>
      <c r="C5" s="10">
        <f>+Sheet1!K30</f>
        <v>7725</v>
      </c>
      <c r="D5" s="10">
        <f>+Sheet1!K45</f>
        <v>7956.75</v>
      </c>
      <c r="E5" s="10">
        <f>+Sheet1!K61</f>
        <v>8195.4525</v>
      </c>
      <c r="F5" s="12">
        <f t="shared" si="0"/>
        <v>31377.2025</v>
      </c>
    </row>
    <row r="6" spans="1:6" ht="18" customHeight="1">
      <c r="A6" s="30" t="s">
        <v>23</v>
      </c>
      <c r="B6" s="10">
        <f>+Sheet1!K16</f>
        <v>450519.27957692306</v>
      </c>
      <c r="C6" s="10">
        <f>+Sheet1!K31</f>
        <v>462874.2189230769</v>
      </c>
      <c r="D6" s="10">
        <f>+Sheet1!K46</f>
        <v>474633.5695009616</v>
      </c>
      <c r="E6" s="10">
        <f>+Sheet1!K62</f>
        <v>486670.1274559904</v>
      </c>
      <c r="F6" s="12">
        <f t="shared" si="0"/>
        <v>1874697.1954569519</v>
      </c>
    </row>
    <row r="7" spans="1:6" ht="18" customHeight="1">
      <c r="A7" s="30" t="s">
        <v>24</v>
      </c>
      <c r="B7" s="10">
        <f>+Sheet1!K17</f>
        <v>11700</v>
      </c>
      <c r="C7" s="10">
        <f>+Sheet1!K32</f>
        <v>12051</v>
      </c>
      <c r="D7" s="10">
        <f>+Sheet1!K47</f>
        <v>12412.53</v>
      </c>
      <c r="E7" s="10">
        <f>+Sheet1!K63</f>
        <v>12784.905900000007</v>
      </c>
      <c r="F7" s="12">
        <f t="shared" si="0"/>
        <v>48948.435900000004</v>
      </c>
    </row>
    <row r="8" spans="1:6" ht="18" customHeight="1">
      <c r="A8" s="31" t="s">
        <v>25</v>
      </c>
      <c r="B8" s="13">
        <f>+Sheet1!K18</f>
        <v>462219.27957692306</v>
      </c>
      <c r="C8" s="13">
        <f>+Sheet1!K33</f>
        <v>474925.2189230769</v>
      </c>
      <c r="D8" s="13">
        <f>+Sheet1!K48</f>
        <v>487046.0995009616</v>
      </c>
      <c r="E8" s="13">
        <f>+Sheet1!K64</f>
        <v>499455.0333559904</v>
      </c>
      <c r="F8" s="14">
        <f t="shared" si="0"/>
        <v>1923645.631356952</v>
      </c>
    </row>
    <row r="11" spans="1:6" ht="18" customHeight="1">
      <c r="A11" s="35" t="s">
        <v>30</v>
      </c>
      <c r="B11" s="36" t="s">
        <v>26</v>
      </c>
      <c r="C11" s="36" t="s">
        <v>27</v>
      </c>
      <c r="D11" s="36" t="s">
        <v>28</v>
      </c>
      <c r="E11" s="36" t="s">
        <v>29</v>
      </c>
      <c r="F11" s="37" t="s">
        <v>4</v>
      </c>
    </row>
    <row r="12" spans="1:6" ht="18" customHeight="1">
      <c r="A12" s="30" t="s">
        <v>31</v>
      </c>
      <c r="B12" s="10">
        <f>+Sheet1!W12</f>
        <v>430411.3065</v>
      </c>
      <c r="C12" s="10">
        <f>+Sheet1!W27</f>
        <v>442233.88649999996</v>
      </c>
      <c r="D12" s="10">
        <f>+Sheet1!W42</f>
        <v>453384.952335</v>
      </c>
      <c r="E12" s="10">
        <f>+Sheet1!W58</f>
        <v>464784.05177505</v>
      </c>
      <c r="F12" s="12">
        <f>SUM(B12:E12)</f>
        <v>1790814.19711005</v>
      </c>
    </row>
    <row r="13" spans="1:6" ht="18" customHeight="1">
      <c r="A13" s="30" t="s">
        <v>20</v>
      </c>
      <c r="B13" s="10">
        <f>+Sheet1!W13</f>
        <v>10000</v>
      </c>
      <c r="C13" s="10">
        <f>+Sheet1!W28</f>
        <v>10300</v>
      </c>
      <c r="D13" s="10">
        <f>+Sheet1!W43</f>
        <v>10609</v>
      </c>
      <c r="E13" s="10">
        <f>+Sheet1!W59</f>
        <v>10927.27</v>
      </c>
      <c r="F13" s="12">
        <f aca="true" t="shared" si="1" ref="F13:F18">SUM(B13:E13)</f>
        <v>41836.270000000004</v>
      </c>
    </row>
    <row r="14" spans="1:6" ht="18" customHeight="1">
      <c r="A14" s="30" t="s">
        <v>21</v>
      </c>
      <c r="B14" s="10">
        <f>+Sheet1!W14</f>
        <v>27500</v>
      </c>
      <c r="C14" s="10">
        <f>+Sheet1!W29</f>
        <v>28325</v>
      </c>
      <c r="D14" s="10">
        <f>+Sheet1!W44</f>
        <v>29174.75</v>
      </c>
      <c r="E14" s="10">
        <f>+Sheet1!W60</f>
        <v>30049.9925</v>
      </c>
      <c r="F14" s="12">
        <f t="shared" si="1"/>
        <v>115049.7425</v>
      </c>
    </row>
    <row r="15" spans="1:6" ht="18" customHeight="1">
      <c r="A15" s="30" t="s">
        <v>22</v>
      </c>
      <c r="B15" s="10">
        <f>+Sheet1!W15</f>
        <v>7500</v>
      </c>
      <c r="C15" s="10">
        <f>+Sheet1!W30</f>
        <v>7725</v>
      </c>
      <c r="D15" s="10">
        <f>+Sheet1!W45</f>
        <v>7956.75</v>
      </c>
      <c r="E15" s="10">
        <f>+Sheet1!W61</f>
        <v>8195.4525</v>
      </c>
      <c r="F15" s="12">
        <f t="shared" si="1"/>
        <v>31377.2025</v>
      </c>
    </row>
    <row r="16" spans="1:6" ht="18" customHeight="1">
      <c r="A16" s="30" t="s">
        <v>23</v>
      </c>
      <c r="B16" s="10">
        <f>+Sheet1!W16</f>
        <v>475411.3065</v>
      </c>
      <c r="C16" s="10">
        <f>+Sheet1!W31</f>
        <v>488583.88649999996</v>
      </c>
      <c r="D16" s="10">
        <f>+Sheet1!W46</f>
        <v>501125.452335</v>
      </c>
      <c r="E16" s="10">
        <f>+Sheet1!W62</f>
        <v>513956.76677505</v>
      </c>
      <c r="F16" s="12">
        <f t="shared" si="1"/>
        <v>1979077.41211005</v>
      </c>
    </row>
    <row r="17" spans="1:6" ht="18" customHeight="1">
      <c r="A17" s="30" t="s">
        <v>24</v>
      </c>
      <c r="B17" s="10">
        <f>+Sheet1!W17</f>
        <v>11700</v>
      </c>
      <c r="C17" s="10">
        <f>+Sheet1!W32</f>
        <v>12051</v>
      </c>
      <c r="D17" s="10">
        <f>+Sheet1!W47</f>
        <v>12412.53</v>
      </c>
      <c r="E17" s="10">
        <f>+Sheet1!W63</f>
        <v>12784.905900000007</v>
      </c>
      <c r="F17" s="12">
        <f t="shared" si="1"/>
        <v>48948.435900000004</v>
      </c>
    </row>
    <row r="18" spans="1:6" ht="18" customHeight="1">
      <c r="A18" s="31" t="s">
        <v>25</v>
      </c>
      <c r="B18" s="13">
        <f>+Sheet1!W18</f>
        <v>487111.3065</v>
      </c>
      <c r="C18" s="13">
        <f>+Sheet1!W33</f>
        <v>500634.88649999996</v>
      </c>
      <c r="D18" s="13">
        <f>+Sheet1!W48</f>
        <v>513537.982335</v>
      </c>
      <c r="E18" s="13">
        <f>+Sheet1!W64</f>
        <v>526741.67267505</v>
      </c>
      <c r="F18" s="14">
        <f t="shared" si="1"/>
        <v>2028025.8480100501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Harvard School of Public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Kiley</dc:creator>
  <cp:keywords/>
  <dc:description/>
  <cp:lastModifiedBy>Administrator</cp:lastModifiedBy>
  <cp:lastPrinted>2007-04-10T18:02:15Z</cp:lastPrinted>
  <dcterms:created xsi:type="dcterms:W3CDTF">2007-04-02T18:08:24Z</dcterms:created>
  <dcterms:modified xsi:type="dcterms:W3CDTF">2007-04-13T17:58:51Z</dcterms:modified>
  <cp:category/>
  <cp:version/>
  <cp:contentType/>
  <cp:contentStatus/>
</cp:coreProperties>
</file>